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harshroongta.sharepoint.com/sites/FeeonlyiaDataShare/Shared_Documents/Webinars/Insurance Workshop/"/>
    </mc:Choice>
  </mc:AlternateContent>
  <xr:revisionPtr revIDLastSave="1294" documentId="8_{C04CBFC3-37AD-4463-AEAF-27284A977E05}" xr6:coauthVersionLast="47" xr6:coauthVersionMax="47" xr10:uidLastSave="{E889781F-E3AF-454E-8A08-2C9EF8AC9FB5}"/>
  <bookViews>
    <workbookView xWindow="-110" yWindow="-110" windowWidth="19420" windowHeight="10300" xr2:uid="{0E79384E-0148-4C78-B909-2103CCA30F70}"/>
  </bookViews>
  <sheets>
    <sheet name="Assignment 1" sheetId="1" r:id="rId1"/>
    <sheet name="Assignment 2" sheetId="2" r:id="rId2"/>
    <sheet name="Assignment 3" sheetId="4" r:id="rId3"/>
    <sheet name="Assignment 4" sheetId="5" r:id="rId4"/>
    <sheet name="Assignment 5" sheetId="3" r:id="rId5"/>
    <sheet name="Assignment 6" sheetId="18" r:id="rId6"/>
    <sheet name="Assignment 7" sheetId="19" r:id="rId7"/>
    <sheet name="Assignment 8" sheetId="20" r:id="rId8"/>
    <sheet name="Assignment 9" sheetId="21" r:id="rId9"/>
    <sheet name="Assignment 10" sheetId="22" r:id="rId10"/>
    <sheet name="Insurance Calculator" sheetId="12" r:id="rId11"/>
  </sheets>
  <definedNames>
    <definedName name="Asset_Class">#REF!</definedName>
    <definedName name="fami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22" l="1"/>
  <c r="E44" i="22"/>
  <c r="E43" i="22"/>
  <c r="E38" i="22"/>
  <c r="E37" i="22"/>
  <c r="E39" i="22" s="1"/>
  <c r="E33" i="22"/>
  <c r="E34" i="22" s="1"/>
  <c r="I22" i="22" s="1"/>
  <c r="I23" i="22" s="1"/>
  <c r="E32" i="22"/>
  <c r="H22" i="22"/>
  <c r="G22" i="22"/>
  <c r="G21" i="22"/>
  <c r="G20" i="22"/>
  <c r="G19" i="22"/>
  <c r="G18" i="22"/>
  <c r="G17" i="22"/>
  <c r="G16" i="22"/>
  <c r="G15" i="22"/>
  <c r="G14" i="22"/>
  <c r="G13" i="22"/>
  <c r="G12" i="22"/>
  <c r="G11" i="22"/>
  <c r="G10" i="22"/>
  <c r="G9" i="22"/>
  <c r="E9" i="22"/>
  <c r="E10" i="22" s="1"/>
  <c r="H8" i="22"/>
  <c r="G8" i="22"/>
  <c r="E8" i="22"/>
  <c r="E47" i="21"/>
  <c r="E46" i="21"/>
  <c r="E45" i="21"/>
  <c r="E40" i="21"/>
  <c r="E39" i="21"/>
  <c r="E41" i="21" s="1"/>
  <c r="E36" i="21"/>
  <c r="I12" i="21" s="1"/>
  <c r="E35" i="21"/>
  <c r="E34" i="21"/>
  <c r="H12" i="21"/>
  <c r="G12" i="21"/>
  <c r="G11" i="21"/>
  <c r="G10" i="21"/>
  <c r="G9" i="21"/>
  <c r="G8" i="21"/>
  <c r="I29" i="21" s="1"/>
  <c r="E8" i="21"/>
  <c r="E9" i="21" s="1"/>
  <c r="C45" i="20"/>
  <c r="C40" i="20"/>
  <c r="C38" i="20"/>
  <c r="C35" i="20"/>
  <c r="C37" i="20" s="1"/>
  <c r="C41" i="20" s="1"/>
  <c r="C42" i="20" s="1"/>
  <c r="D14" i="20"/>
  <c r="C44" i="19"/>
  <c r="C39" i="19"/>
  <c r="C37" i="19"/>
  <c r="C34" i="19"/>
  <c r="C36" i="19" s="1"/>
  <c r="C40" i="19" s="1"/>
  <c r="C41" i="19" s="1"/>
  <c r="D14" i="19"/>
  <c r="C44" i="18"/>
  <c r="C39" i="18"/>
  <c r="C37" i="18"/>
  <c r="C36" i="18"/>
  <c r="C40" i="18" s="1"/>
  <c r="C41" i="18" s="1"/>
  <c r="C34" i="18"/>
  <c r="D13" i="18"/>
  <c r="H10" i="22" l="1"/>
  <c r="E11" i="22"/>
  <c r="E10" i="21"/>
  <c r="E11" i="21" s="1"/>
  <c r="E12" i="21" s="1"/>
  <c r="E13" i="21" s="1"/>
  <c r="E14" i="21" s="1"/>
  <c r="E15" i="21" s="1"/>
  <c r="E16" i="21" s="1"/>
  <c r="E17" i="21" s="1"/>
  <c r="E18" i="21" s="1"/>
  <c r="E19" i="21" s="1"/>
  <c r="E20" i="21" s="1"/>
  <c r="E21" i="21" s="1"/>
  <c r="E22" i="21" s="1"/>
  <c r="E23" i="21" s="1"/>
  <c r="E24" i="21" s="1"/>
  <c r="H9" i="22"/>
  <c r="C45" i="19"/>
  <c r="C46" i="19" s="1"/>
  <c r="C49" i="19" s="1"/>
  <c r="C45" i="18"/>
  <c r="C46" i="18" s="1"/>
  <c r="C49" i="18" s="1"/>
  <c r="E12" i="22" l="1"/>
  <c r="H11" i="22"/>
  <c r="E25" i="21"/>
  <c r="H8" i="21"/>
  <c r="E26" i="21" l="1"/>
  <c r="H9" i="21"/>
  <c r="E13" i="22"/>
  <c r="H12" i="22"/>
  <c r="E29" i="21" l="1"/>
  <c r="E14" i="22"/>
  <c r="H13" i="22"/>
  <c r="E27" i="21"/>
  <c r="H11" i="21" s="1"/>
  <c r="H10" i="21"/>
  <c r="H29" i="21" s="1"/>
  <c r="H14" i="22" l="1"/>
  <c r="E15" i="22"/>
  <c r="E16" i="22" l="1"/>
  <c r="H15" i="22"/>
  <c r="H16" i="22" l="1"/>
  <c r="E17" i="22"/>
  <c r="E18" i="22" l="1"/>
  <c r="H17" i="22"/>
  <c r="H18" i="22" l="1"/>
  <c r="E19" i="22"/>
  <c r="E20" i="22" l="1"/>
  <c r="H19" i="22"/>
  <c r="E21" i="22" l="1"/>
  <c r="H20" i="22"/>
  <c r="H21" i="22" l="1"/>
  <c r="H23" i="22" s="1"/>
  <c r="E23" i="22"/>
  <c r="K102" i="12" l="1"/>
  <c r="D102" i="12"/>
  <c r="B55" i="3"/>
  <c r="B47" i="3"/>
  <c r="B44" i="3"/>
  <c r="B40" i="3"/>
  <c r="B37" i="3"/>
  <c r="B31" i="3"/>
  <c r="B25" i="3"/>
  <c r="B22" i="3"/>
  <c r="B19" i="3"/>
  <c r="B13" i="5"/>
  <c r="B11" i="4"/>
  <c r="B13" i="4" s="1"/>
  <c r="B54" i="2"/>
  <c r="B46" i="2"/>
  <c r="B43" i="2"/>
  <c r="B39" i="2"/>
  <c r="B36" i="2"/>
  <c r="B30" i="2"/>
  <c r="B24" i="2"/>
  <c r="B18" i="2" l="1"/>
  <c r="B17" i="1"/>
  <c r="B9" i="1"/>
  <c r="B50" i="3"/>
  <c r="B51" i="3"/>
  <c r="B54" i="3"/>
  <c r="B45" i="3"/>
  <c r="B36" i="3"/>
  <c r="B24" i="3"/>
  <c r="B23" i="3"/>
  <c r="B11" i="5"/>
  <c r="B10" i="5"/>
  <c r="B10" i="4"/>
  <c r="B53" i="2"/>
  <c r="B50" i="2"/>
  <c r="B49" i="2"/>
  <c r="B44" i="2" l="1"/>
  <c r="B35" i="2"/>
  <c r="B23" i="2"/>
  <c r="B22" i="2"/>
  <c r="B15" i="1"/>
  <c r="B14" i="1"/>
  <c r="C141" i="12"/>
  <c r="K105" i="12"/>
  <c r="D104" i="12"/>
  <c r="K101" i="12"/>
  <c r="D101" i="12"/>
  <c r="D100" i="12"/>
  <c r="K99" i="12"/>
  <c r="K100" i="12" s="1"/>
  <c r="D99" i="12"/>
  <c r="K98" i="12"/>
  <c r="D98" i="12"/>
  <c r="K96" i="12"/>
  <c r="J75" i="12"/>
  <c r="K68" i="12"/>
  <c r="D68" i="12"/>
  <c r="D69" i="12" s="1"/>
  <c r="D65" i="12"/>
  <c r="K64" i="12"/>
  <c r="D64" i="12"/>
  <c r="K63" i="12"/>
  <c r="K65" i="12" s="1"/>
  <c r="K69" i="12" s="1"/>
  <c r="D63" i="12"/>
  <c r="K62" i="12"/>
  <c r="I62" i="12"/>
  <c r="D62" i="12"/>
  <c r="B62" i="12"/>
  <c r="D55" i="12"/>
  <c r="D107" i="12" s="1"/>
  <c r="K107" i="12" s="1"/>
  <c r="D52" i="12"/>
  <c r="D47" i="12"/>
  <c r="K47" i="12" s="1"/>
  <c r="D41" i="12"/>
  <c r="D38" i="12"/>
  <c r="D31" i="12"/>
  <c r="D27" i="12"/>
  <c r="K26" i="12"/>
  <c r="D26" i="12"/>
  <c r="K25" i="12"/>
  <c r="D25" i="12"/>
  <c r="K24" i="12"/>
  <c r="D24" i="12"/>
  <c r="K22" i="12"/>
  <c r="K21" i="12"/>
  <c r="K27" i="12" s="1"/>
  <c r="E17" i="12"/>
  <c r="E16" i="12"/>
  <c r="D16" i="12"/>
  <c r="D15" i="12"/>
  <c r="E15" i="12" s="1"/>
  <c r="E14" i="12"/>
  <c r="D14" i="12"/>
  <c r="C13" i="12"/>
  <c r="C18" i="12" s="1"/>
  <c r="D113" i="12" l="1"/>
  <c r="C118" i="12" s="1"/>
  <c r="K108" i="12"/>
  <c r="K56" i="12"/>
  <c r="C73" i="12"/>
  <c r="K106" i="12"/>
  <c r="K109" i="12" s="1"/>
  <c r="J117" i="12" s="1"/>
  <c r="J119" i="12" s="1"/>
  <c r="J121" i="12" s="1"/>
  <c r="K113" i="12"/>
  <c r="J118" i="12" s="1"/>
  <c r="D108" i="12"/>
  <c r="D56" i="12"/>
  <c r="J73" i="12"/>
  <c r="K28" i="12"/>
  <c r="K54" i="12" s="1"/>
  <c r="K57" i="12" s="1"/>
  <c r="J72" i="12" s="1"/>
  <c r="J74" i="12" s="1"/>
  <c r="J76" i="12" s="1"/>
  <c r="K97" i="12"/>
  <c r="D97" i="12"/>
  <c r="D106" i="12" s="1"/>
  <c r="D109" i="12" s="1"/>
  <c r="C117" i="12" s="1"/>
  <c r="C119" i="12" s="1"/>
  <c r="C121" i="12" s="1"/>
  <c r="E13" i="12"/>
  <c r="E18" i="12" s="1"/>
  <c r="D23" i="12" s="1"/>
  <c r="K23" i="12" s="1"/>
  <c r="K55" i="12"/>
  <c r="D103" i="12"/>
  <c r="K103" i="12" s="1"/>
  <c r="D28" i="12" l="1"/>
  <c r="D54" i="12" s="1"/>
  <c r="D57" i="12" s="1"/>
  <c r="C72" i="12" s="1"/>
  <c r="C74" i="12" s="1"/>
  <c r="C76" i="12" s="1"/>
</calcChain>
</file>

<file path=xl/sharedStrings.xml><?xml version="1.0" encoding="utf-8"?>
<sst xmlns="http://schemas.openxmlformats.org/spreadsheetml/2006/main" count="611" uniqueCount="393">
  <si>
    <t xml:space="preserve">Human Life Value Method: </t>
  </si>
  <si>
    <t>Current Annual Income paid at the end of the year</t>
  </si>
  <si>
    <t>Increase in Annual Income Every Year</t>
  </si>
  <si>
    <t>Age Today</t>
  </si>
  <si>
    <t>Retirement Age</t>
  </si>
  <si>
    <t>No. Of Years to Retirement</t>
  </si>
  <si>
    <t>Post Tax earning from insurance claim payment</t>
  </si>
  <si>
    <t>Formula Based Approach</t>
  </si>
  <si>
    <t>Given the above information, Calculate the Human Life Value:</t>
  </si>
  <si>
    <r>
      <t>a)</t>
    </r>
    <r>
      <rPr>
        <sz val="7"/>
        <color theme="1"/>
        <rFont val="Times New Roman"/>
        <family val="1"/>
      </rPr>
      <t xml:space="preserve">      </t>
    </r>
    <r>
      <rPr>
        <sz val="12"/>
        <color theme="1"/>
        <rFont val="Aptos"/>
        <family val="2"/>
      </rPr>
      <t xml:space="preserve">Age of Self and Spouse is 33 </t>
    </r>
  </si>
  <si>
    <r>
      <t>b)</t>
    </r>
    <r>
      <rPr>
        <sz val="7"/>
        <color theme="1"/>
        <rFont val="Times New Roman"/>
        <family val="1"/>
      </rPr>
      <t xml:space="preserve">     </t>
    </r>
    <r>
      <rPr>
        <sz val="12"/>
        <color theme="1"/>
        <rFont val="Aptos"/>
        <family val="2"/>
      </rPr>
      <t>Self and Spouse Retirement Age: 60 Years</t>
    </r>
  </si>
  <si>
    <r>
      <t>c)</t>
    </r>
    <r>
      <rPr>
        <sz val="7"/>
        <color theme="1"/>
        <rFont val="Times New Roman"/>
        <family val="1"/>
      </rPr>
      <t xml:space="preserve">      </t>
    </r>
    <r>
      <rPr>
        <sz val="12"/>
        <color theme="1"/>
        <rFont val="Aptos"/>
        <family val="2"/>
      </rPr>
      <t xml:space="preserve">Life Expectancy for both is 80 years </t>
    </r>
  </si>
  <si>
    <r>
      <t>d)</t>
    </r>
    <r>
      <rPr>
        <sz val="7"/>
        <color theme="1"/>
        <rFont val="Times New Roman"/>
        <family val="1"/>
      </rPr>
      <t xml:space="preserve">     </t>
    </r>
    <r>
      <rPr>
        <sz val="12"/>
        <color theme="1"/>
        <rFont val="Aptos"/>
        <family val="2"/>
      </rPr>
      <t xml:space="preserve">Current living expenses are Rs. 5 lakhs </t>
    </r>
  </si>
  <si>
    <r>
      <t>e)</t>
    </r>
    <r>
      <rPr>
        <sz val="7"/>
        <color theme="1"/>
        <rFont val="Times New Roman"/>
        <family val="1"/>
      </rPr>
      <t xml:space="preserve">      </t>
    </r>
    <r>
      <rPr>
        <sz val="12"/>
        <color theme="1"/>
        <rFont val="Aptos"/>
        <family val="2"/>
      </rPr>
      <t>Annual Income of as below growing at 6%</t>
    </r>
  </si>
  <si>
    <r>
      <t></t>
    </r>
    <r>
      <rPr>
        <sz val="7"/>
        <color theme="1"/>
        <rFont val="Times New Roman"/>
        <family val="1"/>
      </rPr>
      <t xml:space="preserve">  </t>
    </r>
    <r>
      <rPr>
        <sz val="12"/>
        <color theme="1"/>
        <rFont val="Aptos"/>
        <family val="2"/>
      </rPr>
      <t xml:space="preserve">Self: 10 Lakhs p.a  </t>
    </r>
  </si>
  <si>
    <r>
      <t></t>
    </r>
    <r>
      <rPr>
        <sz val="7"/>
        <color theme="1"/>
        <rFont val="Times New Roman"/>
        <family val="1"/>
      </rPr>
      <t xml:space="preserve">  </t>
    </r>
    <r>
      <rPr>
        <sz val="12"/>
        <color theme="1"/>
        <rFont val="Aptos"/>
        <family val="2"/>
      </rPr>
      <t xml:space="preserve">Spouse: 2 Lakh p.a </t>
    </r>
  </si>
  <si>
    <r>
      <t>f)</t>
    </r>
    <r>
      <rPr>
        <sz val="7"/>
        <color theme="1"/>
        <rFont val="Times New Roman"/>
        <family val="1"/>
      </rPr>
      <t xml:space="preserve">        </t>
    </r>
    <r>
      <rPr>
        <sz val="12"/>
        <color theme="1"/>
        <rFont val="Aptos"/>
        <family val="2"/>
      </rPr>
      <t xml:space="preserve">Inflation rate of 6% p.a. on expenses such that first year's expense is Rs. 5,30,000. </t>
    </r>
  </si>
  <si>
    <r>
      <t>g)</t>
    </r>
    <r>
      <rPr>
        <sz val="7"/>
        <color theme="1"/>
        <rFont val="Times New Roman"/>
        <family val="1"/>
      </rPr>
      <t xml:space="preserve">      </t>
    </r>
    <r>
      <rPr>
        <sz val="12"/>
        <color theme="1"/>
        <rFont val="Aptos"/>
        <family val="2"/>
      </rPr>
      <t xml:space="preserve">Current Investments yielding 10% are 30 lakhs </t>
    </r>
  </si>
  <si>
    <r>
      <t>h)</t>
    </r>
    <r>
      <rPr>
        <sz val="7"/>
        <color theme="1"/>
        <rFont val="Times New Roman"/>
        <family val="1"/>
      </rPr>
      <t xml:space="preserve">      </t>
    </r>
    <r>
      <rPr>
        <sz val="12"/>
        <color theme="1"/>
        <rFont val="Aptos"/>
        <family val="2"/>
      </rPr>
      <t>Loan outstanding is Rs. 25 lakhs which also has to be covered by Insurance</t>
    </r>
  </si>
  <si>
    <r>
      <t>i)</t>
    </r>
    <r>
      <rPr>
        <sz val="7"/>
        <color theme="1"/>
        <rFont val="Times New Roman"/>
        <family val="1"/>
      </rPr>
      <t xml:space="preserve">        </t>
    </r>
    <r>
      <rPr>
        <sz val="12"/>
        <color theme="1"/>
        <rFont val="Aptos"/>
        <family val="2"/>
      </rPr>
      <t>Child A’s graduation Goal. Current cost is 20 lakhs which is inflating at 6% p.a. Money needed after 10 years</t>
    </r>
  </si>
  <si>
    <r>
      <t>j)</t>
    </r>
    <r>
      <rPr>
        <sz val="7"/>
        <color theme="1"/>
        <rFont val="Times New Roman"/>
        <family val="1"/>
      </rPr>
      <t xml:space="preserve">        </t>
    </r>
    <r>
      <rPr>
        <sz val="12"/>
        <color theme="1"/>
        <rFont val="Aptos"/>
        <family val="2"/>
      </rPr>
      <t xml:space="preserve">Current Investment allocated to Child’s Graduation goal is Rs. 1 lakh </t>
    </r>
  </si>
  <si>
    <r>
      <t>k)</t>
    </r>
    <r>
      <rPr>
        <sz val="7"/>
        <color theme="1"/>
        <rFont val="Times New Roman"/>
        <family val="1"/>
      </rPr>
      <t xml:space="preserve">      </t>
    </r>
    <r>
      <rPr>
        <sz val="12"/>
        <color theme="1"/>
        <rFont val="Aptos"/>
        <family val="2"/>
      </rPr>
      <t>Post Tax earning from insurance claim payment is 10%</t>
    </r>
  </si>
  <si>
    <r>
      <t>d)</t>
    </r>
    <r>
      <rPr>
        <sz val="7"/>
        <color theme="1"/>
        <rFont val="Times New Roman"/>
        <family val="1"/>
      </rPr>
      <t xml:space="preserve">     </t>
    </r>
    <r>
      <rPr>
        <sz val="12"/>
        <color theme="1"/>
        <rFont val="Aptos"/>
        <family val="2"/>
      </rPr>
      <t>Current living expenses are Rs. 5 lakhs</t>
    </r>
  </si>
  <si>
    <r>
      <t>e)</t>
    </r>
    <r>
      <rPr>
        <sz val="7"/>
        <color theme="1"/>
        <rFont val="Times New Roman"/>
        <family val="1"/>
      </rPr>
      <t xml:space="preserve">      </t>
    </r>
    <r>
      <rPr>
        <sz val="12"/>
        <color theme="1"/>
        <rFont val="Aptos"/>
        <family val="2"/>
      </rPr>
      <t xml:space="preserve">Add Long Term Care / Caretaker Cost / Lifestyle Adjustments expenses 2 Lakhs p.a. to current living expenses </t>
    </r>
  </si>
  <si>
    <r>
      <t>f)</t>
    </r>
    <r>
      <rPr>
        <sz val="7"/>
        <color theme="1"/>
        <rFont val="Times New Roman"/>
        <family val="1"/>
      </rPr>
      <t xml:space="preserve">        </t>
    </r>
    <r>
      <rPr>
        <sz val="12"/>
        <color theme="1"/>
        <rFont val="Aptos"/>
        <family val="2"/>
      </rPr>
      <t>Annual Income of as below growing at 6%</t>
    </r>
  </si>
  <si>
    <r>
      <t>g)</t>
    </r>
    <r>
      <rPr>
        <sz val="7"/>
        <color theme="1"/>
        <rFont val="Times New Roman"/>
        <family val="1"/>
      </rPr>
      <t xml:space="preserve">      </t>
    </r>
    <r>
      <rPr>
        <sz val="12"/>
        <color theme="1"/>
        <rFont val="Aptos"/>
        <family val="2"/>
      </rPr>
      <t xml:space="preserve">Inflation rate of 6% p.a. on expenses such that first year's expense is Rs. 5,30,000. </t>
    </r>
  </si>
  <si>
    <r>
      <t>h)</t>
    </r>
    <r>
      <rPr>
        <sz val="7"/>
        <color theme="1"/>
        <rFont val="Times New Roman"/>
        <family val="1"/>
      </rPr>
      <t xml:space="preserve">      </t>
    </r>
    <r>
      <rPr>
        <sz val="12"/>
        <color theme="1"/>
        <rFont val="Aptos"/>
        <family val="2"/>
      </rPr>
      <t xml:space="preserve">Current Investments yielding 10% are 30 lakhs </t>
    </r>
  </si>
  <si>
    <r>
      <t>i)</t>
    </r>
    <r>
      <rPr>
        <sz val="7"/>
        <color theme="1"/>
        <rFont val="Times New Roman"/>
        <family val="1"/>
      </rPr>
      <t xml:space="preserve">        </t>
    </r>
    <r>
      <rPr>
        <sz val="12"/>
        <color theme="1"/>
        <rFont val="Aptos"/>
        <family val="2"/>
      </rPr>
      <t>Loan outstanding is Rs. 25 lakhs which also has to be covered by Insurance</t>
    </r>
  </si>
  <si>
    <r>
      <t>j)</t>
    </r>
    <r>
      <rPr>
        <sz val="7"/>
        <color theme="1"/>
        <rFont val="Times New Roman"/>
        <family val="1"/>
      </rPr>
      <t xml:space="preserve">        </t>
    </r>
    <r>
      <rPr>
        <sz val="12"/>
        <color theme="1"/>
        <rFont val="Aptos"/>
        <family val="2"/>
      </rPr>
      <t>Son’s graduation Goal. Current cost is 20 lakhs which is inflating at 6% p.a. Money needed after 10 years</t>
    </r>
  </si>
  <si>
    <r>
      <t>k)</t>
    </r>
    <r>
      <rPr>
        <sz val="7"/>
        <color theme="1"/>
        <rFont val="Times New Roman"/>
        <family val="1"/>
      </rPr>
      <t xml:space="preserve">      </t>
    </r>
    <r>
      <rPr>
        <sz val="12"/>
        <color theme="1"/>
        <rFont val="Aptos"/>
        <family val="2"/>
      </rPr>
      <t xml:space="preserve">Current Investment allocated to Child’s Graduation goal is Rs. 1 lakh </t>
    </r>
  </si>
  <si>
    <r>
      <t>l)</t>
    </r>
    <r>
      <rPr>
        <sz val="7"/>
        <color theme="1"/>
        <rFont val="Times New Roman"/>
        <family val="1"/>
      </rPr>
      <t xml:space="preserve">        </t>
    </r>
    <r>
      <rPr>
        <sz val="12"/>
        <color theme="1"/>
        <rFont val="Aptos"/>
        <family val="2"/>
      </rPr>
      <t xml:space="preserve">Post Tax earning from insurance claim payment is 10% </t>
    </r>
  </si>
  <si>
    <t>Need for Insurance or Sum Assured : 1,00,00,000</t>
  </si>
  <si>
    <t>Current Age : 30 years</t>
  </si>
  <si>
    <t xml:space="preserve">Policy tenure : 30 years </t>
  </si>
  <si>
    <t xml:space="preserve">Policy premium if pure protection Term policy : 9416/- per annum </t>
  </si>
  <si>
    <t>Policy premium if premiums returned in the end : 17,473 per annum</t>
  </si>
  <si>
    <t>Amount of Premium returned on maturity : Rs. 5,24,190 (30 times the annual premium of Rs. 17,473)</t>
  </si>
  <si>
    <t>Question: What is the ROI on the extra premium paid for Return of Premium Plan?</t>
  </si>
  <si>
    <r>
      <t></t>
    </r>
    <r>
      <rPr>
        <sz val="13.5"/>
        <color rgb="FF000000"/>
        <rFont val="Calibri"/>
        <family val="2"/>
      </rPr>
      <t>Sum Insured  on an endowment plan: Rs. 1 crore</t>
    </r>
  </si>
  <si>
    <r>
      <t></t>
    </r>
    <r>
      <rPr>
        <sz val="13.5"/>
        <color rgb="FF000000"/>
        <rFont val="Calibri"/>
        <family val="2"/>
      </rPr>
      <t xml:space="preserve">Current age : 30 years  </t>
    </r>
  </si>
  <si>
    <r>
      <t></t>
    </r>
    <r>
      <rPr>
        <sz val="13.5"/>
        <color rgb="FF000000"/>
        <rFont val="Calibri"/>
        <family val="2"/>
      </rPr>
      <t xml:space="preserve">Tenure of coverage: 30 years </t>
    </r>
  </si>
  <si>
    <r>
      <t></t>
    </r>
    <r>
      <rPr>
        <sz val="13.5"/>
        <color rgb="FF000000"/>
        <rFont val="Calibri"/>
        <family val="2"/>
      </rPr>
      <t xml:space="preserve">Annual premium for endowment plan : Rs. 3,16,332 </t>
    </r>
  </si>
  <si>
    <r>
      <t></t>
    </r>
    <r>
      <rPr>
        <sz val="13.5"/>
        <color rgb="FF000000"/>
        <rFont val="Calibri"/>
        <family val="2"/>
      </rPr>
      <t>Annual premium for term plan : 9,416/-</t>
    </r>
  </si>
  <si>
    <r>
      <t></t>
    </r>
    <r>
      <rPr>
        <sz val="13.5"/>
        <color rgb="FF000000"/>
        <rFont val="Calibri"/>
        <family val="2"/>
      </rPr>
      <t xml:space="preserve">The higher of the two amounts shown as payable after 30 years as per official illustration of the Insurance company: Rs. 2,14,00,000 </t>
    </r>
  </si>
  <si>
    <r>
      <t></t>
    </r>
    <r>
      <rPr>
        <b/>
        <sz val="13.5"/>
        <color rgb="FF000000"/>
        <rFont val="Calibri"/>
        <family val="2"/>
      </rPr>
      <t>Question: What is the ROI on the extra premium paid for Endowment Plan?</t>
    </r>
  </si>
  <si>
    <t>Past Performance</t>
  </si>
  <si>
    <t>ULIP Returns as per NAV</t>
  </si>
  <si>
    <t>NIFTY 50 Hybrid Composite Index Returns</t>
  </si>
  <si>
    <t xml:space="preserve">·       Insured Name: Baljeet Singh Dhillon </t>
  </si>
  <si>
    <t>1 Year</t>
  </si>
  <si>
    <t>·       Age: 35 years</t>
  </si>
  <si>
    <t>3 Year</t>
  </si>
  <si>
    <t>·       Non-Smoker</t>
  </si>
  <si>
    <t>5 Year</t>
  </si>
  <si>
    <t>·       Occupation: IT professional</t>
  </si>
  <si>
    <t>10 Year</t>
  </si>
  <si>
    <t>·       City: Pune</t>
  </si>
  <si>
    <t>·       Policy Type: Unit-Linked Insurance Plan (ULIP)</t>
  </si>
  <si>
    <t>Premium p.a.</t>
  </si>
  <si>
    <t>·       Fund Type: Balanced (50% equity, 50% debt)</t>
  </si>
  <si>
    <t>Year</t>
  </si>
  <si>
    <t>·       Policy Tenure: 15 years</t>
  </si>
  <si>
    <t>Current Value</t>
  </si>
  <si>
    <t>·       Annual Premium: ₹1,00,000</t>
  </si>
  <si>
    <t>Return p.a.</t>
  </si>
  <si>
    <t>·       Sum Assured: ₹10 lacs or fund value (whichever is higher)</t>
  </si>
  <si>
    <t>·       Policy Duration So Far: 4 years</t>
  </si>
  <si>
    <t>·       Lock-in Period: 5 years</t>
  </si>
  <si>
    <t>·       Surrender of Policy: Not allowed before completion of 5 years</t>
  </si>
  <si>
    <t>·       Surrender Charges: Will not apply after the lock-in period ends</t>
  </si>
  <si>
    <t>·       Withdrawals: He can take partial withdrawals without penalty after 5 years</t>
  </si>
  <si>
    <t>·       Current Fund Value: ₹4,60,000 (based on current NAV &amp; accumulated units)</t>
  </si>
  <si>
    <t>·       Premium Allocation Charge: 5% p.a. of premium for the first year; 1% p.a. thereafter</t>
  </si>
  <si>
    <t>·       Policy Administration Charge: ₹400 per month</t>
  </si>
  <si>
    <t>·       Fund Management Charge: 1.25% p.a.</t>
  </si>
  <si>
    <t>·       Mortality Charge:  ₹100 per lac of sum assured</t>
  </si>
  <si>
    <t>·       Policy Discontinuation Charge:  2% of fund value or ₹5,000 (whichever is higher)</t>
  </si>
  <si>
    <t>Which option is most suitable for Baljeet?</t>
  </si>
  <si>
    <t>(A) Allow the policy to lapse and move the accumulated corpus to a liquid fund for withdrawal after 5 years.</t>
  </si>
  <si>
    <t>(B) Continue the policy for one more year, then surrender it.</t>
  </si>
  <si>
    <t>(C) Continue the ULIP until maturity.</t>
  </si>
  <si>
    <t>Continue the Policy</t>
  </si>
  <si>
    <t>Sum Assured</t>
  </si>
  <si>
    <t>  Current Fund Value</t>
  </si>
  <si>
    <t>Premium Allocation Charge: 5% p.a. of premium for the first year; 1% p.a. thereafter</t>
  </si>
  <si>
    <t>Policy Administration Charge: ₹400 per month</t>
  </si>
  <si>
    <t>Fund Management Charge: 1.25% p.a.</t>
  </si>
  <si>
    <t>Adjusted in NAV</t>
  </si>
  <si>
    <t>Mortality Charge:  ₹100 per lac of sum assured (to Ignore)</t>
  </si>
  <si>
    <t>Total charges &amp; deductions</t>
  </si>
  <si>
    <t>Lapsing the Policy</t>
  </si>
  <si>
    <t>Policy Discontinuation Charge:  2% of fund value or ₹5,000 (whichever is higher)</t>
  </si>
  <si>
    <t>Fund value after discontinue charges</t>
  </si>
  <si>
    <t>Discontinued Policy Fund Return</t>
  </si>
  <si>
    <t>Remaining tenure for completion of 5 years</t>
  </si>
  <si>
    <t>Amount payable after 5 years</t>
  </si>
  <si>
    <t>Nifty 50 TRI Index Returns</t>
  </si>
  <si>
    <t>·       Insured Name: Ms. Zainab Ansari</t>
  </si>
  <si>
    <t>·       Age: 30 years</t>
  </si>
  <si>
    <t>·       Occupation: Marketing Manager</t>
  </si>
  <si>
    <t>·       City: Bengaluru</t>
  </si>
  <si>
    <t>·       Policy Name: ULIP Life Goal Assure Policy</t>
  </si>
  <si>
    <t>·       Fund Type: Equity (100% large cap equity allocation)</t>
  </si>
  <si>
    <t>·       Annual Premium: ₹1,20,000</t>
  </si>
  <si>
    <t>·       Sum Assured: ₹12 lacs or fund value (whichever is higher)</t>
  </si>
  <si>
    <t>·       Policy Duration: 1 year</t>
  </si>
  <si>
    <t>·       Premium Paid: ₹1,20,000 (for the first year)</t>
  </si>
  <si>
    <t>·       Withdrawals: She can take partial withdrawals without penalty after 5 years</t>
  </si>
  <si>
    <t xml:space="preserve">·       Fund Value After 1 Year: ₹1,34,000 </t>
  </si>
  <si>
    <t>·       Premium Allocation Charge: 5% p.a. of premium for the first year; 1.5% p.a. thereafter</t>
  </si>
  <si>
    <t>·       Policy Administration Charge: ₹500 per month</t>
  </si>
  <si>
    <t>·       Fund Management Charge: 1.35% p.a.</t>
  </si>
  <si>
    <t>·       Mortality Charge:  ₹90 per lac of sum assured</t>
  </si>
  <si>
    <t>Which option is most suitable for Zainab?</t>
  </si>
  <si>
    <t>(B) Continue the policy till 5 years, then surrender it.</t>
  </si>
  <si>
    <t>Premium Allocation Charge: 5% p.a. of premium for the first year; 1.5% p.a. thereafter</t>
  </si>
  <si>
    <t>Policy Administration Charge: ₹500 per month</t>
  </si>
  <si>
    <t>Fund Management Charge: 1.35% p.a.</t>
  </si>
  <si>
    <t>Mortality Charge:  ₹90 per lac of sum assured (to Ignore)</t>
  </si>
  <si>
    <t>Total charges / deduction</t>
  </si>
  <si>
    <t>·       Insured Name: Zubin Irani</t>
  </si>
  <si>
    <t>·       Age: 45 years</t>
  </si>
  <si>
    <t>·       Occupation: CA</t>
  </si>
  <si>
    <t>·       City: Goa</t>
  </si>
  <si>
    <t>·       Policy: ULIP - Platinum Classic Opportunities Fund</t>
  </si>
  <si>
    <t>·       Fund Type: Equity – 100% (Large cap)</t>
  </si>
  <si>
    <t>·       Policy Commencement Date: 01/Oct/2017</t>
  </si>
  <si>
    <t>·       Sum Assured (SA): ₹30 lakhs or fund value (whichever is higher)</t>
  </si>
  <si>
    <t>·       Annual Premium: ₹3 lakhs</t>
  </si>
  <si>
    <t>·       Premium Paid: 8 years</t>
  </si>
  <si>
    <t>·       Maturity Date: 01/Oct/2032</t>
  </si>
  <si>
    <t>·       Total Premium Paid So Far: ₹24 lakhs</t>
  </si>
  <si>
    <t>·       Current Fund Value: ₹32 lakhs</t>
  </si>
  <si>
    <t>·       Policy Administration Charge: ₹600 per month</t>
  </si>
  <si>
    <t>·       Mortality Charge:  ₹200 per lac of sum assured</t>
  </si>
  <si>
    <t>·       Surrender Charge: Nil after 5 years</t>
  </si>
  <si>
    <t>Which option is most suitable for Zubin?</t>
  </si>
  <si>
    <t>(A) Surrender the policy.</t>
  </si>
  <si>
    <t>(B) Switch to a mid-cap fund within the policy for potentially higher returns and continue.</t>
  </si>
  <si>
    <t>Policy Administration Charge: ₹600 per month</t>
  </si>
  <si>
    <t>Mortality Charge:  ₹200 per lac of sum assured (to Ignore)</t>
  </si>
  <si>
    <t>  Current Fund Value available to withdraw</t>
  </si>
  <si>
    <t>·       Policy Holder: Ms. Kajal Panthi</t>
  </si>
  <si>
    <t>Since Inception</t>
  </si>
  <si>
    <t>From Today till Maturity</t>
  </si>
  <si>
    <t>·       Policy Type: Jeevan Anand</t>
  </si>
  <si>
    <t>Date</t>
  </si>
  <si>
    <t>From Today</t>
  </si>
  <si>
    <t>·       Policy Commencement Date: 01/10/2008</t>
  </si>
  <si>
    <t>·       Sum Assured: ₹5 lacs</t>
  </si>
  <si>
    <t>·       Annual Premium: ₹25,000</t>
  </si>
  <si>
    <t>·       Policy Tenure: till age 100 (cover continue post-maturity)</t>
  </si>
  <si>
    <t>·       Premium Paying Term: 21 years</t>
  </si>
  <si>
    <t>·       Completed Years: 17 years</t>
  </si>
  <si>
    <t>·       Remaining Premium Payment Tenure: 4 years</t>
  </si>
  <si>
    <t>·       Surrender Value (Today): ₹4,50,000</t>
  </si>
  <si>
    <t>·       Paid up Value (Today): ₹8,30,000</t>
  </si>
  <si>
    <t>·       Maturity Value: ₹10,65,000 (appx.)</t>
  </si>
  <si>
    <t>Which option is most suitable for Kajal?</t>
  </si>
  <si>
    <t>(A) Surrender the policy and reallocate the fund value to a more beneficial option.</t>
  </si>
  <si>
    <t>(C) Keep the policy until maturity.</t>
  </si>
  <si>
    <t>IRR (since inception)</t>
  </si>
  <si>
    <t>IRR (from today)</t>
  </si>
  <si>
    <t>Smple reversionary bonus is Rs. 50 per thousand of SA (SA x policy term x bonus /1000)</t>
  </si>
  <si>
    <t xml:space="preserve">Surrender Value: </t>
  </si>
  <si>
    <t>80% of Premium paid</t>
  </si>
  <si>
    <t>Smple reversionary bonus is Rs. 50 per thousand of SA (SA x policy term x bonus /1000) * 25%</t>
  </si>
  <si>
    <t>Maturity Value</t>
  </si>
  <si>
    <t>Basic Sum Assured</t>
  </si>
  <si>
    <t>Vested simple reversionary bonus</t>
  </si>
  <si>
    <t>Final Additional Bonus Rs. 80 per thousand SA</t>
  </si>
  <si>
    <t>·       Policy Holder: Narendra Awasthi</t>
  </si>
  <si>
    <t>·       Policy Type: Life Suraksha – Endowment Plan</t>
  </si>
  <si>
    <t>·       Age: 46</t>
  </si>
  <si>
    <t>·       City: Jaipur</t>
  </si>
  <si>
    <t>·       Policy Commencement Date: 01/01/2024</t>
  </si>
  <si>
    <t>·       Sum Assured: ₹1.20 crore</t>
  </si>
  <si>
    <t>·       Annual Premium: ₹12 lakhs</t>
  </si>
  <si>
    <t>·       Completed Years: 1 year</t>
  </si>
  <si>
    <t>·       Surrender Value (Today): Zero</t>
  </si>
  <si>
    <t>·       Maturity Value: ₹2.70 crore</t>
  </si>
  <si>
    <t>Which option is best suited for Narendra?</t>
  </si>
  <si>
    <t>(A) Allow the policy to lapse and redirect future premiums to a more beneficial investment.</t>
  </si>
  <si>
    <t>(B) Continue the policy, then surrender it after 3 years.</t>
  </si>
  <si>
    <t>(D) Maintain the policy until maturity.</t>
  </si>
  <si>
    <t>Final Additional Bonus Rs. 125 per thousand SA</t>
  </si>
  <si>
    <t>Insurance Cover for …....... (Self)</t>
  </si>
  <si>
    <t>Insurance Cover for ….......... (Spouse)</t>
  </si>
  <si>
    <t>Current Age</t>
  </si>
  <si>
    <t>Life Expectancy</t>
  </si>
  <si>
    <t>Net Annual Income (Post Tax)</t>
  </si>
  <si>
    <t>LI - Need Based Method</t>
  </si>
  <si>
    <t>Needbase SA = Outstanding Debts + Education Expenses + Family's Living Expenses + Funeral Costs + Future Goals &amp; Aspirations</t>
  </si>
  <si>
    <t>Current Monthly Expenses</t>
  </si>
  <si>
    <t>Monthly Amt.</t>
  </si>
  <si>
    <t>Post Death Reduction</t>
  </si>
  <si>
    <t>Net Monthly Amt</t>
  </si>
  <si>
    <t>Living Cost</t>
  </si>
  <si>
    <t>Annual Travel</t>
  </si>
  <si>
    <t>Festivals, Gifts &amp; Electronics</t>
  </si>
  <si>
    <t xml:space="preserve">Health Insurance Policies </t>
  </si>
  <si>
    <t>Misc Expenses etc.</t>
  </si>
  <si>
    <t>Total Monthly Expenses</t>
  </si>
  <si>
    <t>Future Household Expenses:</t>
  </si>
  <si>
    <t>Future Household Expenses</t>
  </si>
  <si>
    <t>Investment Return</t>
  </si>
  <si>
    <t xml:space="preserve">Inflation Rate </t>
  </si>
  <si>
    <t>Annual Expenditure (in today's term)</t>
  </si>
  <si>
    <t>Present Age of Spouse</t>
  </si>
  <si>
    <t>Life Expectancy of Spouse</t>
  </si>
  <si>
    <t>Number of Years from today till life expectancy of the spouse</t>
  </si>
  <si>
    <t>Number of Years from today till life expectancy of the Spouse</t>
  </si>
  <si>
    <t>Real Rate of Return (RRR)</t>
  </si>
  <si>
    <t>(A) Discounting Household Expenses Needed Today</t>
  </si>
  <si>
    <t>Goals &amp; other expenses</t>
  </si>
  <si>
    <t>Present Value</t>
  </si>
  <si>
    <t>Son's Education</t>
  </si>
  <si>
    <t>Daughter's Education</t>
  </si>
  <si>
    <t>Son's Marriage</t>
  </si>
  <si>
    <t>Daughter's Marriage</t>
  </si>
  <si>
    <t>Present Value of School &amp; Coaching Expenses:</t>
  </si>
  <si>
    <t>No. Of Years before Graduation for Son</t>
  </si>
  <si>
    <t>Annual School &amp; Coaching Expenses for Son</t>
  </si>
  <si>
    <t>PV of School &amp; Coaching Expenses for Son:</t>
  </si>
  <si>
    <t>No. Of Years before Graduation for Daughter</t>
  </si>
  <si>
    <t>Annual School &amp; Coaching Expenses Daughter</t>
  </si>
  <si>
    <t>PV of School &amp; Coaching Expenses for Daughter:</t>
  </si>
  <si>
    <t>House (Buy / Renovate)</t>
  </si>
  <si>
    <t>Parent's Health Care</t>
  </si>
  <si>
    <t>Present Value of Contribution to Dependants:</t>
  </si>
  <si>
    <t>Estate Planning / Gift to Children</t>
  </si>
  <si>
    <t>Funeral Expenses</t>
  </si>
  <si>
    <t>(B) Total Commitments</t>
  </si>
  <si>
    <t>Outstanding Mortgages Debt</t>
  </si>
  <si>
    <t>Outstanding</t>
  </si>
  <si>
    <t>Home Loan</t>
  </si>
  <si>
    <t>Education Loan</t>
  </si>
  <si>
    <t>(C) Outstanding Loans</t>
  </si>
  <si>
    <t>Total LI Cover Required (Need Based)</t>
  </si>
  <si>
    <t>(A + B + C)</t>
  </si>
  <si>
    <t>Total Life Insurance Required (Need Based)</t>
  </si>
  <si>
    <t>Less: Total Assets (excluding Personal Assets)</t>
  </si>
  <si>
    <t>Less: Spouse Future Income</t>
  </si>
  <si>
    <t>Yes</t>
  </si>
  <si>
    <t>Net LI Cover Required (Need Based)</t>
  </si>
  <si>
    <t>LI - HLV Method (discounting future income)</t>
  </si>
  <si>
    <t>Pre Retirement working years</t>
  </si>
  <si>
    <t>Investment Rate</t>
  </si>
  <si>
    <t>Annual Salary Growth (inflation)</t>
  </si>
  <si>
    <t>Total LI Cover Required (HLV - discounting future income)</t>
  </si>
  <si>
    <t>Recommended Life Insurance:</t>
  </si>
  <si>
    <t>LI - Need Based</t>
  </si>
  <si>
    <t>LI - HLV</t>
  </si>
  <si>
    <t>LI - lower of 2</t>
  </si>
  <si>
    <t>x</t>
  </si>
  <si>
    <t>Less: Existing LI Cover</t>
  </si>
  <si>
    <t>Life Insurance Gap</t>
  </si>
  <si>
    <t>Accidental Disability &amp; Critical Illness Insurance [NEED BASED Method]</t>
  </si>
  <si>
    <t>AD Covers: (AD + PTD + PPD + TTD + Coma + Burn)</t>
  </si>
  <si>
    <t>CI Covers: Major Critical Illness Such as heart attack, cancer, and stroke etc.</t>
  </si>
  <si>
    <t>Future Household Expenses (Living Cost)</t>
  </si>
  <si>
    <t>Lower of Present Age of Self/Spouse</t>
  </si>
  <si>
    <t>Life Expectancy Age</t>
  </si>
  <si>
    <t>Number of Years from today till life expectancy age</t>
  </si>
  <si>
    <t>(B) Total Commitments [As calculated earlier]</t>
  </si>
  <si>
    <t>(D) Long Term Care / Caretaker Cost / Lifestyle Adjustments</t>
  </si>
  <si>
    <t>Total PA &amp; CI Cover required (Need Based Method)</t>
  </si>
  <si>
    <t>(A + B + C + D)</t>
  </si>
  <si>
    <t>PA &amp; CI Cover required (Need Based Method)</t>
  </si>
  <si>
    <t>Net PA &amp; CI Cover Required (Need Based Method)</t>
  </si>
  <si>
    <t xml:space="preserve">Current Monthly Expenses </t>
  </si>
  <si>
    <t>Accidental Disability &amp; Critical Illness Insurance [HLV Method]:</t>
  </si>
  <si>
    <t>HLV (discounting future income) [As calculated Earlier]</t>
  </si>
  <si>
    <t>Recommended PA + CI Insurance Cover:</t>
  </si>
  <si>
    <t>Need Based</t>
  </si>
  <si>
    <t>HLV</t>
  </si>
  <si>
    <t>Lower of 2</t>
  </si>
  <si>
    <t>(Less) Existing Cover</t>
  </si>
  <si>
    <t>PA + CI Insurance Gap</t>
  </si>
  <si>
    <t>Health Policy Calculation:</t>
  </si>
  <si>
    <t>SA ≈ (Average Annual Medical Expenses + Inflation) x No of Family Members</t>
  </si>
  <si>
    <t>Medical Expenses per Member</t>
  </si>
  <si>
    <t>No of Family Members</t>
  </si>
  <si>
    <t>Health Policy Cover Required - Family Floater</t>
  </si>
  <si>
    <t>Insurance gap</t>
  </si>
  <si>
    <t>Graph for AD and CI</t>
  </si>
  <si>
    <t>% of current fund value</t>
  </si>
  <si>
    <t>Our Recommendation:</t>
  </si>
  <si>
    <t>Reasoning:</t>
  </si>
  <si>
    <t>Conflict of interest disclosure:</t>
  </si>
  <si>
    <t>% of Current Fund Value</t>
  </si>
  <si>
    <t>Paid up value</t>
  </si>
  <si>
    <t>Note: ULIPs do not offer the same level of transparency or regulatory safeguards as Mutual Funds.</t>
  </si>
  <si>
    <t>Alternate option:</t>
  </si>
  <si>
    <r>
      <t></t>
    </r>
    <r>
      <rPr>
        <sz val="7"/>
        <color theme="1"/>
        <rFont val="Times New Roman"/>
        <family val="1"/>
      </rPr>
      <t xml:space="preserve">  </t>
    </r>
    <r>
      <rPr>
        <b/>
        <sz val="12"/>
        <color theme="1"/>
        <rFont val="Aptos"/>
        <family val="2"/>
      </rPr>
      <t>Rate:</t>
    </r>
  </si>
  <si>
    <r>
      <t></t>
    </r>
    <r>
      <rPr>
        <sz val="7"/>
        <color theme="1"/>
        <rFont val="Times New Roman"/>
        <family val="1"/>
      </rPr>
      <t xml:space="preserve">  </t>
    </r>
    <r>
      <rPr>
        <b/>
        <sz val="12"/>
        <color theme="1"/>
        <rFont val="Aptos"/>
        <family val="2"/>
      </rPr>
      <t>NPER:</t>
    </r>
  </si>
  <si>
    <r>
      <t></t>
    </r>
    <r>
      <rPr>
        <sz val="7"/>
        <color theme="1"/>
        <rFont val="Times New Roman"/>
        <family val="1"/>
      </rPr>
      <t xml:space="preserve">  </t>
    </r>
    <r>
      <rPr>
        <b/>
        <sz val="12"/>
        <color theme="1"/>
        <rFont val="Aptos"/>
        <family val="2"/>
      </rPr>
      <t>PMT:</t>
    </r>
  </si>
  <si>
    <r>
      <t></t>
    </r>
    <r>
      <rPr>
        <sz val="7"/>
        <color theme="1"/>
        <rFont val="Times New Roman"/>
        <family val="1"/>
      </rPr>
      <t xml:space="preserve">  </t>
    </r>
    <r>
      <rPr>
        <sz val="12"/>
        <color theme="1"/>
        <rFont val="Aptos"/>
        <family val="2"/>
      </rPr>
      <t xml:space="preserve">Use the </t>
    </r>
    <r>
      <rPr>
        <b/>
        <sz val="12"/>
        <color theme="1"/>
        <rFont val="Aptos"/>
        <family val="2"/>
      </rPr>
      <t xml:space="preserve">PV </t>
    </r>
    <r>
      <rPr>
        <sz val="12"/>
        <color theme="1"/>
        <rFont val="Aptos"/>
        <family val="2"/>
      </rPr>
      <t>formula in excel to get the answer: where:</t>
    </r>
  </si>
  <si>
    <r>
      <t></t>
    </r>
    <r>
      <rPr>
        <sz val="7"/>
        <color theme="1"/>
        <rFont val="Times New Roman"/>
        <family val="1"/>
      </rPr>
      <t xml:space="preserve">  </t>
    </r>
    <r>
      <rPr>
        <b/>
        <sz val="12"/>
        <color theme="1"/>
        <rFont val="Aptos"/>
        <family val="2"/>
      </rPr>
      <t>Answer is:</t>
    </r>
  </si>
  <si>
    <r>
      <t></t>
    </r>
    <r>
      <rPr>
        <sz val="7"/>
        <color theme="1"/>
        <rFont val="Times New Roman"/>
        <family val="1"/>
      </rPr>
      <t xml:space="preserve">  </t>
    </r>
    <r>
      <rPr>
        <sz val="12"/>
        <color theme="1"/>
        <rFont val="Aptos"/>
        <family val="2"/>
      </rPr>
      <t xml:space="preserve">NPER: </t>
    </r>
  </si>
  <si>
    <r>
      <t></t>
    </r>
    <r>
      <rPr>
        <sz val="7"/>
        <color theme="1"/>
        <rFont val="Times New Roman"/>
        <family val="1"/>
      </rPr>
      <t xml:space="preserve">  </t>
    </r>
    <r>
      <rPr>
        <sz val="12"/>
        <color theme="1"/>
        <rFont val="Aptos"/>
        <family val="2"/>
      </rPr>
      <t xml:space="preserve">PMT: </t>
    </r>
  </si>
  <si>
    <r>
      <t></t>
    </r>
    <r>
      <rPr>
        <b/>
        <sz val="7"/>
        <color theme="1"/>
        <rFont val="Times New Roman"/>
        <family val="1"/>
      </rPr>
      <t xml:space="preserve">  </t>
    </r>
    <r>
      <rPr>
        <b/>
        <sz val="12"/>
        <color theme="1"/>
        <rFont val="Aptos"/>
        <family val="2"/>
      </rPr>
      <t xml:space="preserve">NPER: </t>
    </r>
  </si>
  <si>
    <r>
      <t></t>
    </r>
    <r>
      <rPr>
        <b/>
        <sz val="7"/>
        <color theme="1"/>
        <rFont val="Times New Roman"/>
        <family val="1"/>
      </rPr>
      <t xml:space="preserve">  </t>
    </r>
    <r>
      <rPr>
        <b/>
        <sz val="12"/>
        <color theme="1"/>
        <rFont val="Aptos"/>
        <family val="2"/>
      </rPr>
      <t xml:space="preserve">Rate: </t>
    </r>
  </si>
  <si>
    <r>
      <t></t>
    </r>
    <r>
      <rPr>
        <b/>
        <sz val="7"/>
        <color theme="1"/>
        <rFont val="Times New Roman"/>
        <family val="1"/>
      </rPr>
      <t xml:space="preserve">  </t>
    </r>
    <r>
      <rPr>
        <b/>
        <sz val="12"/>
        <color theme="1"/>
        <rFont val="Aptos"/>
        <family val="2"/>
      </rPr>
      <t xml:space="preserve">PMT: </t>
    </r>
  </si>
  <si>
    <r>
      <t></t>
    </r>
    <r>
      <rPr>
        <sz val="7"/>
        <color theme="1"/>
        <rFont val="Times New Roman"/>
        <family val="1"/>
      </rPr>
      <t xml:space="preserve">  </t>
    </r>
    <r>
      <rPr>
        <b/>
        <sz val="12"/>
        <color theme="1"/>
        <rFont val="Aptos"/>
        <family val="2"/>
      </rPr>
      <t>The answer is PV:</t>
    </r>
  </si>
  <si>
    <r>
      <t></t>
    </r>
    <r>
      <rPr>
        <sz val="7"/>
        <color theme="1"/>
        <rFont val="Times New Roman"/>
        <family val="1"/>
      </rPr>
      <t xml:space="preserve">  </t>
    </r>
    <r>
      <rPr>
        <sz val="12"/>
        <color theme="1"/>
        <rFont val="Aptos"/>
        <family val="2"/>
      </rPr>
      <t>NPER:</t>
    </r>
  </si>
  <si>
    <r>
      <t></t>
    </r>
    <r>
      <rPr>
        <sz val="7"/>
        <color theme="1"/>
        <rFont val="Times New Roman"/>
        <family val="1"/>
      </rPr>
      <t xml:space="preserve">  </t>
    </r>
    <r>
      <rPr>
        <sz val="12"/>
        <color theme="1"/>
        <rFont val="Aptos"/>
        <family val="2"/>
      </rPr>
      <t>Rate:</t>
    </r>
  </si>
  <si>
    <r>
      <t></t>
    </r>
    <r>
      <rPr>
        <sz val="7"/>
        <color theme="1"/>
        <rFont val="Times New Roman"/>
        <family val="1"/>
      </rPr>
      <t xml:space="preserve">  </t>
    </r>
    <r>
      <rPr>
        <sz val="12"/>
        <color theme="1"/>
        <rFont val="Aptos"/>
        <family val="2"/>
      </rPr>
      <t>PV:</t>
    </r>
  </si>
  <si>
    <r>
      <t></t>
    </r>
    <r>
      <rPr>
        <sz val="7"/>
        <color theme="1"/>
        <rFont val="Times New Roman"/>
        <family val="1"/>
      </rPr>
      <t xml:space="preserve">  </t>
    </r>
    <r>
      <rPr>
        <b/>
        <sz val="12"/>
        <color theme="1"/>
        <rFont val="Aptos"/>
        <family val="2"/>
      </rPr>
      <t xml:space="preserve">Answer (FV): </t>
    </r>
  </si>
  <si>
    <r>
      <t></t>
    </r>
    <r>
      <rPr>
        <sz val="7"/>
        <color theme="1"/>
        <rFont val="Times New Roman"/>
        <family val="1"/>
      </rPr>
      <t xml:space="preserve">  </t>
    </r>
    <r>
      <rPr>
        <sz val="12"/>
        <color theme="1"/>
        <rFont val="Aptos"/>
        <family val="2"/>
      </rPr>
      <t xml:space="preserve">FV: </t>
    </r>
  </si>
  <si>
    <r>
      <t></t>
    </r>
    <r>
      <rPr>
        <sz val="7"/>
        <color theme="1"/>
        <rFont val="Times New Roman"/>
        <family val="1"/>
      </rPr>
      <t xml:space="preserve">  </t>
    </r>
    <r>
      <rPr>
        <b/>
        <sz val="12"/>
        <color theme="1"/>
        <rFont val="Aptos"/>
        <family val="2"/>
      </rPr>
      <t>Answer (PV):</t>
    </r>
  </si>
  <si>
    <r>
      <t></t>
    </r>
    <r>
      <rPr>
        <sz val="7"/>
        <color theme="1"/>
        <rFont val="Times New Roman"/>
        <family val="1"/>
      </rPr>
      <t xml:space="preserve">  </t>
    </r>
    <r>
      <rPr>
        <b/>
        <sz val="12"/>
        <color theme="1"/>
        <rFont val="Aptos"/>
        <family val="2"/>
      </rPr>
      <t>Answer:</t>
    </r>
  </si>
  <si>
    <r>
      <t></t>
    </r>
    <r>
      <rPr>
        <sz val="7"/>
        <color theme="1"/>
        <rFont val="Times New Roman"/>
        <family val="1"/>
      </rPr>
      <t xml:space="preserve">  </t>
    </r>
    <r>
      <rPr>
        <sz val="12"/>
        <color theme="1"/>
        <rFont val="Aptos"/>
        <family val="2"/>
      </rPr>
      <t>PMT:</t>
    </r>
  </si>
  <si>
    <r>
      <t></t>
    </r>
    <r>
      <rPr>
        <b/>
        <sz val="7"/>
        <color theme="1"/>
        <rFont val="Times New Roman"/>
        <family val="1"/>
      </rPr>
      <t xml:space="preserve">  </t>
    </r>
    <r>
      <rPr>
        <b/>
        <sz val="12"/>
        <color theme="1"/>
        <rFont val="Aptos"/>
        <family val="2"/>
      </rPr>
      <t>Answer (PV)</t>
    </r>
  </si>
  <si>
    <t>Hint: [(1+Investment Yield)/(1+Income Growth Rate)-1]</t>
  </si>
  <si>
    <r>
      <t></t>
    </r>
    <r>
      <rPr>
        <sz val="7"/>
        <color theme="1"/>
        <rFont val="Times New Roman"/>
        <family val="1"/>
      </rPr>
      <t xml:space="preserve">  </t>
    </r>
    <r>
      <rPr>
        <sz val="12"/>
        <color theme="1"/>
        <rFont val="Aptos"/>
        <family val="2"/>
      </rPr>
      <t>(A) PV of Future Expenses:</t>
    </r>
  </si>
  <si>
    <r>
      <t></t>
    </r>
    <r>
      <rPr>
        <sz val="7"/>
        <color theme="1"/>
        <rFont val="Times New Roman"/>
        <family val="1"/>
      </rPr>
      <t xml:space="preserve">  </t>
    </r>
    <r>
      <rPr>
        <sz val="12"/>
        <color theme="1"/>
        <rFont val="Aptos"/>
        <family val="2"/>
      </rPr>
      <t>(B) Total Commitments (Post-Graduation Goal)</t>
    </r>
  </si>
  <si>
    <r>
      <t></t>
    </r>
    <r>
      <rPr>
        <sz val="7"/>
        <color theme="1"/>
        <rFont val="Times New Roman"/>
        <family val="1"/>
      </rPr>
      <t xml:space="preserve">  </t>
    </r>
    <r>
      <rPr>
        <sz val="12"/>
        <color theme="1"/>
        <rFont val="Aptos"/>
        <family val="2"/>
      </rPr>
      <t xml:space="preserve">(D) Total Assets: </t>
    </r>
  </si>
  <si>
    <r>
      <t></t>
    </r>
    <r>
      <rPr>
        <sz val="7"/>
        <color theme="1"/>
        <rFont val="Times New Roman"/>
        <family val="1"/>
      </rPr>
      <t xml:space="preserve">  </t>
    </r>
    <r>
      <rPr>
        <sz val="12"/>
        <color theme="1"/>
        <rFont val="Aptos"/>
        <family val="2"/>
      </rPr>
      <t xml:space="preserve">(C) Outstanding Loan: </t>
    </r>
  </si>
  <si>
    <r>
      <t></t>
    </r>
    <r>
      <rPr>
        <sz val="7"/>
        <color theme="1"/>
        <rFont val="Times New Roman"/>
        <family val="1"/>
      </rPr>
      <t xml:space="preserve">  </t>
    </r>
    <r>
      <rPr>
        <sz val="12"/>
        <color theme="1"/>
        <rFont val="Aptos"/>
        <family val="2"/>
      </rPr>
      <t xml:space="preserve">(E) PV of Future Income of Spouse: </t>
    </r>
  </si>
  <si>
    <r>
      <t></t>
    </r>
    <r>
      <rPr>
        <sz val="7"/>
        <color theme="1"/>
        <rFont val="Times New Roman"/>
        <family val="1"/>
      </rPr>
      <t xml:space="preserve">  </t>
    </r>
    <r>
      <rPr>
        <b/>
        <sz val="12"/>
        <color theme="1"/>
        <rFont val="Aptos"/>
        <family val="2"/>
      </rPr>
      <t>Answer is (A + B + C) Less (D + E)</t>
    </r>
    <r>
      <rPr>
        <b/>
        <sz val="12"/>
        <color theme="1"/>
        <rFont val="Abadi"/>
        <family val="2"/>
      </rPr>
      <t>:</t>
    </r>
  </si>
  <si>
    <r>
      <t></t>
    </r>
    <r>
      <rPr>
        <sz val="13.5"/>
        <color rgb="FF000000"/>
        <rFont val="Calibri"/>
        <family val="2"/>
      </rPr>
      <t>NPER:</t>
    </r>
  </si>
  <si>
    <r>
      <t></t>
    </r>
    <r>
      <rPr>
        <sz val="13.5"/>
        <color rgb="FF000000"/>
        <rFont val="Calibri"/>
        <family val="2"/>
      </rPr>
      <t>PMT:</t>
    </r>
  </si>
  <si>
    <r>
      <t></t>
    </r>
    <r>
      <rPr>
        <sz val="13.5"/>
        <color rgb="FF000000"/>
        <rFont val="Calibri"/>
        <family val="2"/>
      </rPr>
      <t xml:space="preserve">Future Value =  </t>
    </r>
  </si>
  <si>
    <r>
      <t></t>
    </r>
    <r>
      <rPr>
        <b/>
        <sz val="13.5"/>
        <color rgb="FF000000"/>
        <rFont val="Calibri"/>
        <family val="2"/>
      </rPr>
      <t>Rate (Answer):</t>
    </r>
  </si>
  <si>
    <r>
      <t></t>
    </r>
    <r>
      <rPr>
        <b/>
        <sz val="14"/>
        <color rgb="FF000000"/>
        <rFont val="Calibri"/>
        <family val="2"/>
      </rPr>
      <t>NPER:</t>
    </r>
  </si>
  <si>
    <r>
      <t></t>
    </r>
    <r>
      <rPr>
        <b/>
        <sz val="14"/>
        <color rgb="FF000000"/>
        <rFont val="Calibri"/>
        <family val="2"/>
      </rPr>
      <t>Future Value:</t>
    </r>
  </si>
  <si>
    <t xml:space="preserve">Payment at the beginning of each period </t>
  </si>
  <si>
    <r>
      <t></t>
    </r>
    <r>
      <rPr>
        <b/>
        <sz val="14"/>
        <color rgb="FF000000"/>
        <rFont val="Calibri"/>
        <family val="2"/>
      </rPr>
      <t>Rate (Answer):</t>
    </r>
  </si>
  <si>
    <r>
      <t></t>
    </r>
    <r>
      <rPr>
        <b/>
        <sz val="14"/>
        <color rgb="FF000000"/>
        <rFont val="Calibri"/>
        <family val="2"/>
      </rPr>
      <t>PMT:</t>
    </r>
  </si>
  <si>
    <r>
      <t></t>
    </r>
    <r>
      <rPr>
        <sz val="7"/>
        <color theme="1"/>
        <rFont val="Times New Roman"/>
        <family val="1"/>
      </rPr>
      <t xml:space="preserve">  </t>
    </r>
    <r>
      <rPr>
        <b/>
        <sz val="12"/>
        <color theme="1"/>
        <rFont val="Aptos"/>
        <family val="2"/>
      </rPr>
      <t>Answer (FV):</t>
    </r>
  </si>
  <si>
    <r>
      <t></t>
    </r>
    <r>
      <rPr>
        <sz val="7"/>
        <color theme="1"/>
        <rFont val="Times New Roman"/>
        <family val="1"/>
      </rPr>
      <t xml:space="preserve">  </t>
    </r>
    <r>
      <rPr>
        <sz val="12"/>
        <color theme="1"/>
        <rFont val="Aptos"/>
        <family val="2"/>
      </rPr>
      <t>FV:</t>
    </r>
  </si>
  <si>
    <t>(Retirement Age – Current Age)</t>
  </si>
  <si>
    <r>
      <t></t>
    </r>
    <r>
      <rPr>
        <b/>
        <sz val="7"/>
        <color theme="1"/>
        <rFont val="Times New Roman"/>
        <family val="1"/>
      </rPr>
      <t xml:space="preserve">  </t>
    </r>
    <r>
      <rPr>
        <b/>
        <sz val="12"/>
        <color theme="1"/>
        <rFont val="Aptos"/>
        <family val="2"/>
      </rPr>
      <t>PV (Answer):</t>
    </r>
  </si>
  <si>
    <r>
      <t></t>
    </r>
    <r>
      <rPr>
        <sz val="7"/>
        <color theme="1"/>
        <rFont val="Times New Roman"/>
        <family val="1"/>
      </rPr>
      <t xml:space="preserve">  </t>
    </r>
    <r>
      <rPr>
        <b/>
        <sz val="12"/>
        <color theme="1"/>
        <rFont val="Aptos"/>
        <family val="2"/>
      </rPr>
      <t>Answer is (A + B + C) Less (D + E):</t>
    </r>
  </si>
  <si>
    <r>
      <t></t>
    </r>
    <r>
      <rPr>
        <sz val="7"/>
        <color theme="1"/>
        <rFont val="Times New Roman"/>
        <family val="1"/>
      </rPr>
      <t xml:space="preserve">  </t>
    </r>
    <r>
      <rPr>
        <sz val="12"/>
        <color theme="1"/>
        <rFont val="Aptos"/>
        <family val="2"/>
      </rPr>
      <t xml:space="preserve">(A) PV of Future Expenses:  </t>
    </r>
  </si>
  <si>
    <r>
      <t></t>
    </r>
    <r>
      <rPr>
        <sz val="7"/>
        <color theme="1"/>
        <rFont val="Times New Roman"/>
        <family val="1"/>
      </rPr>
      <t xml:space="preserve">  </t>
    </r>
    <r>
      <rPr>
        <sz val="12"/>
        <color theme="1"/>
        <rFont val="Aptos"/>
        <family val="2"/>
      </rPr>
      <t xml:space="preserve">(B) Total Commitments (Post Graduation Goal): </t>
    </r>
  </si>
  <si>
    <r>
      <t></t>
    </r>
    <r>
      <rPr>
        <sz val="7"/>
        <color theme="1"/>
        <rFont val="Times New Roman"/>
        <family val="1"/>
      </rPr>
      <t xml:space="preserve">  </t>
    </r>
    <r>
      <rPr>
        <sz val="12"/>
        <color theme="1"/>
        <rFont val="Aptos"/>
        <family val="2"/>
      </rPr>
      <t>(C) Outstanding Loan:</t>
    </r>
  </si>
  <si>
    <r>
      <t></t>
    </r>
    <r>
      <rPr>
        <b/>
        <sz val="7"/>
        <color theme="1"/>
        <rFont val="Times New Roman"/>
        <family val="1"/>
      </rPr>
      <t xml:space="preserve">  </t>
    </r>
    <r>
      <rPr>
        <b/>
        <sz val="12"/>
        <color theme="1"/>
        <rFont val="Aptos"/>
        <family val="2"/>
      </rPr>
      <t xml:space="preserve">Question: What is total Insurance requirement on need based analysis basis? </t>
    </r>
  </si>
  <si>
    <r>
      <t></t>
    </r>
    <r>
      <rPr>
        <b/>
        <sz val="7"/>
        <color theme="1"/>
        <rFont val="Times New Roman"/>
        <family val="1"/>
      </rPr>
      <t xml:space="preserve">  </t>
    </r>
    <r>
      <rPr>
        <b/>
        <sz val="12"/>
        <color theme="1"/>
        <rFont val="Aptos"/>
        <family val="2"/>
      </rPr>
      <t xml:space="preserve">Calculate Present Value of spouse’s future income? </t>
    </r>
  </si>
  <si>
    <r>
      <t></t>
    </r>
    <r>
      <rPr>
        <b/>
        <sz val="7"/>
        <color theme="1"/>
        <rFont val="Times New Roman"/>
        <family val="1"/>
      </rPr>
      <t xml:space="preserve">  </t>
    </r>
    <r>
      <rPr>
        <b/>
        <sz val="12"/>
        <color theme="1"/>
        <rFont val="Aptos"/>
        <family val="2"/>
      </rPr>
      <t>Given the above information calculate following:</t>
    </r>
  </si>
  <si>
    <r>
      <t></t>
    </r>
    <r>
      <rPr>
        <b/>
        <sz val="7"/>
        <color theme="1"/>
        <rFont val="Times New Roman"/>
        <family val="1"/>
      </rPr>
      <t xml:space="preserve">  </t>
    </r>
    <r>
      <rPr>
        <b/>
        <sz val="12"/>
        <color theme="1"/>
        <rFont val="Aptos"/>
        <family val="2"/>
      </rPr>
      <t xml:space="preserve">Question: how much Insurance cover is required for this goal after taking into account current Investments </t>
    </r>
  </si>
  <si>
    <r>
      <t></t>
    </r>
    <r>
      <rPr>
        <b/>
        <sz val="7"/>
        <color theme="1"/>
        <rFont val="Times New Roman"/>
        <family val="1"/>
      </rPr>
      <t xml:space="preserve">  </t>
    </r>
    <r>
      <rPr>
        <b/>
        <sz val="12"/>
        <color theme="1"/>
        <rFont val="Aptos"/>
        <family val="2"/>
      </rPr>
      <t xml:space="preserve">Question : How much current Investments earning at 10% are required to meet Child’s Graduation goal value? </t>
    </r>
  </si>
  <si>
    <r>
      <t></t>
    </r>
    <r>
      <rPr>
        <b/>
        <sz val="7"/>
        <color theme="1"/>
        <rFont val="Times New Roman"/>
        <family val="1"/>
      </rPr>
      <t xml:space="preserve">  </t>
    </r>
    <r>
      <rPr>
        <b/>
        <sz val="12"/>
        <color theme="1"/>
        <rFont val="Aptos"/>
        <family val="2"/>
      </rPr>
      <t xml:space="preserve">Question: What is the money required for the Child’s Graduation goal after 10 year? </t>
    </r>
  </si>
  <si>
    <r>
      <t></t>
    </r>
    <r>
      <rPr>
        <b/>
        <sz val="7"/>
        <color theme="1"/>
        <rFont val="Times New Roman"/>
        <family val="1"/>
      </rPr>
      <t xml:space="preserve">  </t>
    </r>
    <r>
      <rPr>
        <b/>
        <sz val="12"/>
        <color theme="1"/>
        <rFont val="Aptos"/>
        <family val="2"/>
      </rPr>
      <t>Using the above Rate and NPER of 47 years (80 – 33) and PMT of 5,00,000. Add Long Term Care / Caretaker Cost / Lifestyle Adjustments expenses 2 Lakhs p.a. to current living expenses. 
What is the amount required for securing the expenses till life expectancy of spouse?</t>
    </r>
  </si>
  <si>
    <r>
      <t></t>
    </r>
    <r>
      <rPr>
        <b/>
        <sz val="7"/>
        <color theme="1"/>
        <rFont val="Times New Roman"/>
        <family val="1"/>
      </rPr>
      <t xml:space="preserve">  </t>
    </r>
    <r>
      <rPr>
        <b/>
        <sz val="12"/>
        <color theme="1"/>
        <rFont val="Aptos"/>
        <family val="2"/>
      </rPr>
      <t xml:space="preserve">Questions: for using the formula based approach what will be the Rate? ((1+r)/(1+i))-1 </t>
    </r>
  </si>
  <si>
    <r>
      <t></t>
    </r>
    <r>
      <rPr>
        <b/>
        <sz val="7"/>
        <color theme="1"/>
        <rFont val="Times New Roman"/>
        <family val="1"/>
      </rPr>
      <t xml:space="preserve">  </t>
    </r>
    <r>
      <rPr>
        <b/>
        <sz val="12"/>
        <color theme="1"/>
        <rFont val="Aptos"/>
        <family val="2"/>
      </rPr>
      <t xml:space="preserve">Please Calculate the value of the Insurance needed on a needs based analysis for the same example as above based on the following additional inputs: </t>
    </r>
  </si>
  <si>
    <r>
      <t></t>
    </r>
    <r>
      <rPr>
        <b/>
        <sz val="7"/>
        <color theme="1"/>
        <rFont val="Times New Roman"/>
        <family val="1"/>
      </rPr>
      <t xml:space="preserve">  </t>
    </r>
    <r>
      <rPr>
        <b/>
        <sz val="12"/>
        <color theme="1"/>
        <rFont val="Aptos"/>
        <family val="2"/>
      </rPr>
      <t>Using the above Rate and NPER of 47 years (80 – 33) and PMT of 5,00,000. What is the amount required for securing the expenses till life expectancy of spouse. Consider 20% reduction in expenses post death of life insured.</t>
    </r>
  </si>
  <si>
    <r>
      <t></t>
    </r>
    <r>
      <rPr>
        <b/>
        <sz val="7"/>
        <color theme="1"/>
        <rFont val="Times New Roman"/>
        <family val="1"/>
      </rPr>
      <t xml:space="preserve">  </t>
    </r>
    <r>
      <rPr>
        <b/>
        <sz val="12"/>
        <color theme="1"/>
        <rFont val="Aptos"/>
        <family val="2"/>
      </rPr>
      <t>Question: how much Insurance cover is required for this goal after taking into account current Investments ?</t>
    </r>
  </si>
  <si>
    <r>
      <t></t>
    </r>
    <r>
      <rPr>
        <b/>
        <sz val="7"/>
        <color theme="1"/>
        <rFont val="Times New Roman"/>
        <family val="1"/>
      </rPr>
      <t xml:space="preserve">  </t>
    </r>
    <r>
      <rPr>
        <b/>
        <sz val="12"/>
        <color theme="1"/>
        <rFont val="Aptos"/>
        <family val="2"/>
      </rPr>
      <t>Given the above information calculate followin:</t>
    </r>
  </si>
  <si>
    <t>This color indicates that, calculate the answer</t>
  </si>
  <si>
    <t>This color indicate that, answer linked to one of the previous answer</t>
  </si>
  <si>
    <t>This color indicate that, calculate the answer</t>
  </si>
  <si>
    <t>The Answer (PV):</t>
  </si>
  <si>
    <t>In this example it means that the Insured person is getting a return of 4.61% p.a. on the extra premium paid by him to choose the return of premium policy. This working can be done for any set of pure term plan and term plan with return of premium from the same company.</t>
  </si>
  <si>
    <t>In this example it means that the Insured person is getting a return of 5% p.a. on the extra premium paid by him to choose the endowment policy . This working can be done for any set of pure term plan and endowment plan from the same company.</t>
  </si>
  <si>
    <t>Allow the policy to lapse and withdraw the funds after 1 year.</t>
  </si>
  <si>
    <t>Historically, the fund's returns, before accounting for expenses, have closely tracked the benchmark. As such, we expect the future returns to align with the benchmark, minus an additional cost of 1.3% p.a.
For the purpose of consolidating investments, surrendering the policy may be advisable, especially if the client’s equity allocation is higher than necessary.</t>
  </si>
  <si>
    <t>We do not charge fees on the ULIP fund value. However, should the policy be surrendered and the ULIP fund value reinvested in financial assets, our fees will increase.</t>
  </si>
  <si>
    <t>An alternative approach could be to pay the premium for the final year and then surrender the policy at the end of the 5th year.</t>
  </si>
  <si>
    <t>Allow the policy to lapse and withdraw the funds after 4 year.</t>
  </si>
  <si>
    <t>Historically, the fund's returns, before accounting for expenses, have closely tracked the benchmark. As such, we expect the future returns to align with the benchmark, minus an additional cost of 5.8% p.a.
For the purpose of consolidating investments, surrendering the policy may be advisable, especially if the client’s equity allocation is higher than necessary.</t>
  </si>
  <si>
    <t>An alternative approach could be to pay the premium for the next 4 year and then surrender the policy at the end of the 5th year.</t>
  </si>
  <si>
    <t>Consider continuing the policy until maturity. The expenses are gradually reducing, and at maturity, the withdrawal will be tax-free. 
And if the equity allocation exceeds the desired level, consider shifting the corpus into a debt fund.</t>
  </si>
  <si>
    <t>Historically, the fund's returns, before accounting for expenses, have closely tracked the benchmark. As such, we expect the future returns to align with the benchmark, minus an additional cost of 0.3% p.a., which will reduce further as fund value increases.</t>
  </si>
  <si>
    <t>(B) Make the policy paid-up and receive a reduced maturity amount after 5 years.</t>
  </si>
  <si>
    <t>Paid-Up Value = Proportion of premiums paid + Accrued bonuses</t>
  </si>
  <si>
    <t>Paid-Up Value (Sum Assured) = (Number of Premiums Paid / Total Number of Premiums Payable) × Original Sum Assured (SA)</t>
  </si>
  <si>
    <t>Given the current IRR of 15.5% (tax free), it would be prudent to continue the policy until maturity</t>
  </si>
  <si>
    <t>·       Paid up value (today): Zero</t>
  </si>
  <si>
    <t>·       Paid up value (if 2 more premiums are paid): 24,00,000</t>
  </si>
  <si>
    <t>·       Surrender Value (after completion of 3 years): 23.70 lacs</t>
  </si>
  <si>
    <t>(C) Make the policy paid-up after 3 years.</t>
  </si>
  <si>
    <t>PPaid-Up Value (Sum Assured) = (Number of Premiums Paid / Total Number of Premiums Payable) × Original Sum Assured (SA)</t>
  </si>
  <si>
    <t>Surrender Value: (after 3 years)</t>
  </si>
  <si>
    <t>With the current IRR at 6.1% (tax free), it’s up to the client to decide if they would be satisfied with a guaranteed, tax-free return over the next 14 years.</t>
  </si>
  <si>
    <t>Assignment 6: Evaluating a ULIP Policy Decision</t>
  </si>
  <si>
    <t>(Case Ref. Date: 01/11/2024)</t>
  </si>
  <si>
    <t>Baljeet Singh Dhillon, a 35-year-old IT professional based in Pune. He is keen on securing his family's future while also optimizing his financial planning. Four years ago, Baljeet purchased a ULIP, intending it to be a balanced solution combining insurance and investment. With rising concerns about the policy's performance and associated costs, he has turned to you for guidance on whether to continue with the ULIP or switch to alternative investment options. 
Baljeet already has an adequate term insurance plan separately.</t>
  </si>
  <si>
    <t>Assignment 7: Evaluating a ULIP Policy after a year</t>
  </si>
  <si>
    <t>Zainab Ansari is a vibrant 30-year-old Marketing Manager residing in the bustling city of Bengaluru. She is financially savvy and aware of the benefits of insurance and investment, which led her to purchase a ULIP Life Goal Assure Policy a year ago. 
While she initially saw ULIP as an attractive combination of investment and insurance, she has recently begun to question the effectiveness of this choice. She has paid the first-year premium but is now reconsidering her decision. She has heard that ULIP comes with high charges and low returns in the initial years. This uncertainty has brought her to a crossroads, and she seeks guidance on whether to continue the ULIP.
Zainab already has sufficient coverage through a separate term plan.</t>
  </si>
  <si>
    <t>Assignment 8: Evaluating a ULIP Policy vs. Nifty</t>
  </si>
  <si>
    <t>Zubin Irani is a 45-year-old Chartered Accountant based in Goa. With a strong understanding of financial products and markets, Zubin has been proactive in managing his investments.
Zubin began his investment journey in 2017 by purchasing the ULIP - Platinum Classic Opportunities Fund, primarily to benefit from the dual advantages of insurance coverage and potential market-linked growth. He chose this ULIP due to its equity exposure and perceived ability to generate better long-term returns compared to traditional savings instruments.
Over the last seven years, Zubin has consistently contributed to his ULIP. With the lock-in period of five years complete, he is now considering how his ULIP investment compares to a more better approach in equity markets, particularly the Nifty 50 index, which has yielded somewhat better return than his policy.
Zubin has an adequate term plan separately.</t>
  </si>
  <si>
    <t>Assignment 9: Evaluating a Conventional Insurance Policy Decision</t>
  </si>
  <si>
    <t>Ms. Kajal Panthi, a successful 35-year-old event manager from Chandigarh, earns an annual income of ₹60 lakh and enjoys a secure financial position. She prioritizes the well-being and future of her husband and son. Kajal's financial journey began early, influenced by her father’s foresight in purchasing a traditional endowment policy to provide her with a stable financial foundation. When she started her career, she took over the premium payments, continuing her father's legacy to ensure long-term stability for her family.
With this policy now in its 16th year, Kajal has come to a crossroads. She wonders whether it would be more beneficial to continue the policy until maturity or to surrender it now and redirect her funds into more lucrative investments.
Kajal already has sufficient term cover already.</t>
  </si>
  <si>
    <t>Assignment 10: Evaluating a Conventional Insurance Policy Decision</t>
  </si>
  <si>
    <t>Narendra Awasthi, a 46-year-old businessman runs a successful manufacturing company. Narendra resides in his own home in Jaipur, on which he took a home loan of ₹3 crore two years ago at an interest rate of 8.75% per annum. He purchased a Life Suraksha endowment policy, ensuring additional security for his wife and children in case of his death.
A year into this policy, he is starting to wonder if it’s the best choice for him. Although he initially chose the plan for its stability and as a legacy for his family, he now wants to know if keeping the policy for the full 15 years is ideal or if he should consider surrendering it after 3 years when it gains a surrender value or let the policy lapsed in which case he will not get back anything and his premium paid will be forfeited. To get clarity, he has approached a financial planner for guidance on the best course of action.
Narendra has an adequate term insurance policy.</t>
  </si>
  <si>
    <t xml:space="preserve">Assignment 1: Human Life Value Method: </t>
  </si>
  <si>
    <t>Assignment 2: Need Based Method</t>
  </si>
  <si>
    <t>Assignment 3: Return of Premium Plan</t>
  </si>
  <si>
    <t>Assignment 4: Endowment v/s Term Plan</t>
  </si>
  <si>
    <t>Assignment 5: Critical Illness and Accidental Disability Insurance</t>
  </si>
  <si>
    <t>Simple reversionary bonus is Rs. 50 per thousand of SA (SA x policy term x bonus /1000) *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</si>
</sst>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8" formatCode="&quot;₹&quot;\ #,##0.00;[Red]&quot;₹&quot;\ \-#,##0.00"/>
    <numFmt numFmtId="43" formatCode="_ * #,##0.00_ ;_ * \-#,##0.00_ ;_ * &quot;-&quot;??_ ;_ @_ "/>
    <numFmt numFmtId="164" formatCode="0.0%"/>
    <numFmt numFmtId="165" formatCode="_ * #,##0_ ;_ * \-#,##0_ ;_ * &quot;-&quot;??_ ;_ @_ "/>
    <numFmt numFmtId="166" formatCode="_(* #,##0.00_);_(* \(#,##0.00\);_(* &quot;-&quot;??_);_(@_)"/>
    <numFmt numFmtId="167" formatCode="_(* #,##0_);_(* \(#,##0\);_(* &quot;-&quot;??_);_(@_)"/>
    <numFmt numFmtId="168" formatCode="0.000000%"/>
    <numFmt numFmtId="169" formatCode="#,##0_ ;\-#,##0\ "/>
    <numFmt numFmtId="170" formatCode="d\-mmm\-yyyy"/>
    <numFmt numFmtId="171" formatCode="0.0000000000000000%"/>
  </numFmts>
  <fonts count="58" x14ac:knownFonts="1">
    <font>
      <sz val="11"/>
      <color theme="1"/>
      <name val="Aptos Narrow"/>
      <family val="2"/>
      <scheme val="minor"/>
    </font>
    <font>
      <b/>
      <sz val="11"/>
      <color theme="1"/>
      <name val="Aptos Narrow"/>
      <family val="2"/>
      <scheme val="minor"/>
    </font>
    <font>
      <sz val="12"/>
      <color theme="1"/>
      <name val="Aptos"/>
      <family val="2"/>
    </font>
    <font>
      <b/>
      <sz val="12"/>
      <color theme="1"/>
      <name val="Aptos"/>
      <family val="2"/>
    </font>
    <font>
      <sz val="12"/>
      <color theme="1"/>
      <name val="Wingdings 2"/>
      <family val="1"/>
      <charset val="2"/>
    </font>
    <font>
      <sz val="7"/>
      <color theme="1"/>
      <name val="Times New Roman"/>
      <family val="1"/>
    </font>
    <font>
      <sz val="10.45"/>
      <color rgb="FF0BD0D9"/>
      <name val="Wingdings 2"/>
      <family val="1"/>
      <charset val="2"/>
    </font>
    <font>
      <sz val="13.5"/>
      <color rgb="FF000000"/>
      <name val="Calibri"/>
      <family val="2"/>
    </font>
    <font>
      <b/>
      <sz val="10.45"/>
      <color rgb="FF0BD0D9"/>
      <name val="Wingdings 2"/>
      <family val="1"/>
      <charset val="2"/>
    </font>
    <font>
      <b/>
      <sz val="13.5"/>
      <color rgb="FF000000"/>
      <name val="Calibri"/>
      <family val="2"/>
    </font>
    <font>
      <b/>
      <sz val="15"/>
      <color rgb="FF000000"/>
      <name val="Calibri"/>
      <family val="2"/>
    </font>
    <font>
      <sz val="14"/>
      <color rgb="FF0F6FC6"/>
      <name val="Wingdings 2"/>
      <family val="1"/>
      <charset val="2"/>
    </font>
    <font>
      <b/>
      <sz val="14"/>
      <color rgb="FF000000"/>
      <name val="Calibri"/>
      <family val="2"/>
    </font>
    <font>
      <sz val="11"/>
      <color theme="1"/>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b/>
      <sz val="20"/>
      <color theme="0"/>
      <name val="Aptos Narrow"/>
      <family val="2"/>
      <scheme val="minor"/>
    </font>
    <font>
      <sz val="11"/>
      <color theme="1"/>
      <name val="Aptos"/>
      <family val="2"/>
    </font>
    <font>
      <b/>
      <sz val="11"/>
      <color rgb="FF000000"/>
      <name val="Aptos"/>
      <family val="2"/>
    </font>
    <font>
      <b/>
      <sz val="11"/>
      <color rgb="FFC00000"/>
      <name val="Aptos"/>
      <family val="2"/>
    </font>
    <font>
      <sz val="11"/>
      <color rgb="FF000000"/>
      <name val="Aptos"/>
      <family val="2"/>
    </font>
    <font>
      <b/>
      <sz val="11"/>
      <color theme="1"/>
      <name val="Aptos"/>
      <family val="2"/>
    </font>
    <font>
      <sz val="11"/>
      <color theme="1"/>
      <name val="Aptos Display"/>
      <family val="2"/>
      <scheme val="major"/>
    </font>
    <font>
      <sz val="11"/>
      <name val="Aptos"/>
      <family val="2"/>
    </font>
    <font>
      <b/>
      <sz val="11"/>
      <color rgb="FFFF0000"/>
      <name val="Aptos"/>
      <family val="2"/>
    </font>
    <font>
      <b/>
      <sz val="11"/>
      <name val="Aptos"/>
      <family val="2"/>
    </font>
    <font>
      <b/>
      <sz val="11"/>
      <color rgb="FF0000FF"/>
      <name val="Aptos"/>
      <family val="2"/>
    </font>
    <font>
      <sz val="11"/>
      <color rgb="FFC00000"/>
      <name val="Aptos"/>
      <family val="2"/>
    </font>
    <font>
      <b/>
      <sz val="11"/>
      <name val="Aptos Narrow"/>
      <family val="2"/>
      <scheme val="minor"/>
    </font>
    <font>
      <sz val="11"/>
      <name val="Aptos Narrow"/>
      <family val="2"/>
      <scheme val="minor"/>
    </font>
    <font>
      <b/>
      <sz val="11"/>
      <color theme="0"/>
      <name val="Aptos"/>
      <family val="2"/>
    </font>
    <font>
      <sz val="11"/>
      <color rgb="FFFF0000"/>
      <name val="Aptos"/>
      <family val="2"/>
    </font>
    <font>
      <sz val="10"/>
      <name val="Arial"/>
      <family val="2"/>
    </font>
    <font>
      <b/>
      <u val="singleAccounting"/>
      <sz val="11"/>
      <color theme="1"/>
      <name val="Aptos Narrow"/>
      <family val="2"/>
      <scheme val="minor"/>
    </font>
    <font>
      <b/>
      <i/>
      <sz val="11"/>
      <color theme="1"/>
      <name val="Aptos Narrow"/>
      <family val="2"/>
      <scheme val="minor"/>
    </font>
    <font>
      <sz val="11"/>
      <color rgb="FF000000"/>
      <name val="Calibri"/>
      <family val="2"/>
    </font>
    <font>
      <b/>
      <sz val="11"/>
      <color rgb="FF000000"/>
      <name val="Calibri"/>
      <family val="2"/>
    </font>
    <font>
      <b/>
      <sz val="11"/>
      <color rgb="FF0033CC"/>
      <name val="Aptos"/>
      <family val="2"/>
    </font>
    <font>
      <b/>
      <sz val="12"/>
      <color theme="1"/>
      <name val="Wingdings 2"/>
      <family val="1"/>
      <charset val="2"/>
    </font>
    <font>
      <b/>
      <sz val="7"/>
      <color theme="1"/>
      <name val="Times New Roman"/>
      <family val="1"/>
    </font>
    <font>
      <b/>
      <sz val="12"/>
      <color theme="1"/>
      <name val="Abadi"/>
      <family val="2"/>
    </font>
    <font>
      <sz val="12"/>
      <color theme="1"/>
      <name val="Aptos Narrow"/>
      <family val="2"/>
      <scheme val="minor"/>
    </font>
    <font>
      <sz val="14"/>
      <color theme="1"/>
      <name val="Aptos Narrow"/>
      <family val="2"/>
      <scheme val="minor"/>
    </font>
    <font>
      <sz val="10.45"/>
      <name val="Abadi"/>
      <family val="2"/>
    </font>
    <font>
      <sz val="12"/>
      <name val="Abadi"/>
      <family val="2"/>
    </font>
    <font>
      <b/>
      <sz val="12"/>
      <color theme="1"/>
      <name val="Aptos Narrow"/>
      <family val="2"/>
      <scheme val="minor"/>
    </font>
    <font>
      <b/>
      <sz val="18"/>
      <color theme="0"/>
      <name val="Aptos"/>
      <family val="2"/>
    </font>
    <font>
      <b/>
      <sz val="18"/>
      <color theme="0"/>
      <name val="Aptos Display"/>
      <family val="2"/>
      <scheme val="major"/>
    </font>
    <font>
      <b/>
      <sz val="11"/>
      <color rgb="FF000000"/>
      <name val="Aptos Display"/>
      <family val="2"/>
      <scheme val="major"/>
    </font>
    <font>
      <b/>
      <sz val="11"/>
      <color rgb="FFC00000"/>
      <name val="Aptos Display"/>
      <family val="2"/>
      <scheme val="major"/>
    </font>
    <font>
      <sz val="11"/>
      <color rgb="FF000000"/>
      <name val="Aptos Display"/>
      <family val="2"/>
      <scheme val="major"/>
    </font>
    <font>
      <b/>
      <sz val="11"/>
      <color theme="1"/>
      <name val="Aptos Display"/>
      <family val="2"/>
      <scheme val="major"/>
    </font>
    <font>
      <sz val="11"/>
      <name val="Aptos Display"/>
      <family val="2"/>
      <scheme val="major"/>
    </font>
    <font>
      <b/>
      <sz val="11"/>
      <color rgb="FFFF0000"/>
      <name val="Aptos Display"/>
      <family val="2"/>
      <scheme val="major"/>
    </font>
    <font>
      <b/>
      <sz val="11"/>
      <name val="Aptos Display"/>
      <family val="2"/>
      <scheme val="major"/>
    </font>
    <font>
      <b/>
      <sz val="11"/>
      <color rgb="FF0033CC"/>
      <name val="Aptos Display"/>
      <family val="2"/>
      <scheme val="major"/>
    </font>
    <font>
      <b/>
      <sz val="18"/>
      <color theme="0"/>
      <name val="Aptos Narrow"/>
      <family val="2"/>
      <scheme val="minor"/>
    </font>
  </fonts>
  <fills count="21">
    <fill>
      <patternFill patternType="none"/>
    </fill>
    <fill>
      <patternFill patternType="gray125"/>
    </fill>
    <fill>
      <patternFill patternType="solid">
        <fgColor theme="7" tint="0.79998168889431442"/>
        <bgColor indexed="64"/>
      </patternFill>
    </fill>
    <fill>
      <patternFill patternType="solid">
        <fgColor rgb="FF00206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0070C0"/>
        <bgColor indexed="64"/>
      </patternFill>
    </fill>
    <fill>
      <patternFill patternType="solid">
        <fgColor rgb="FF64D9AA"/>
        <bgColor indexed="64"/>
      </patternFill>
    </fill>
    <fill>
      <patternFill patternType="solid">
        <fgColor rgb="FFC00000"/>
        <bgColor indexed="64"/>
      </patternFill>
    </fill>
    <fill>
      <patternFill patternType="solid">
        <fgColor rgb="FF00B05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002060"/>
        <bgColor rgb="FF974806"/>
      </patternFill>
    </fill>
    <fill>
      <patternFill patternType="solid">
        <fgColor theme="8" tint="0.79998168889431442"/>
        <bgColor indexed="64"/>
      </patternFill>
    </fill>
    <fill>
      <patternFill patternType="solid">
        <fgColor theme="3"/>
        <bgColor indexed="64"/>
      </patternFill>
    </fill>
    <fill>
      <patternFill patternType="solid">
        <fgColor rgb="FFD9D9D9"/>
        <bgColor indexed="64"/>
      </patternFill>
    </fill>
    <fill>
      <patternFill patternType="solid">
        <fgColor rgb="FF0070C0"/>
        <bgColor rgb="FF974806"/>
      </patternFill>
    </fill>
    <fill>
      <patternFill patternType="solid">
        <fgColor rgb="FFF0E684"/>
        <bgColor indexed="64"/>
      </patternFill>
    </fill>
    <fill>
      <patternFill patternType="solid">
        <fgColor theme="5"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33" fillId="0" borderId="0"/>
    <xf numFmtId="166" fontId="33" fillId="0" borderId="0" applyFont="0" applyFill="0" applyBorder="0" applyAlignment="0" applyProtection="0"/>
    <xf numFmtId="9" fontId="33" fillId="0" borderId="0" applyFont="0" applyFill="0" applyBorder="0" applyAlignment="0" applyProtection="0"/>
    <xf numFmtId="43" fontId="13" fillId="0" borderId="0" applyFont="0" applyFill="0" applyBorder="0" applyAlignment="0" applyProtection="0"/>
  </cellStyleXfs>
  <cellXfs count="330">
    <xf numFmtId="0" fontId="0" fillId="0" borderId="0" xfId="0"/>
    <xf numFmtId="0" fontId="3"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vertical="center"/>
    </xf>
    <xf numFmtId="3" fontId="2" fillId="0" borderId="4" xfId="0" applyNumberFormat="1" applyFont="1" applyBorder="1" applyAlignment="1">
      <alignment horizontal="center" vertical="center"/>
    </xf>
    <xf numFmtId="9"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18" fillId="0" borderId="0" xfId="0" applyFont="1" applyAlignment="1">
      <alignment vertical="center"/>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20" fillId="0" borderId="0" xfId="0" applyFont="1" applyAlignment="1">
      <alignment vertical="center"/>
    </xf>
    <xf numFmtId="0" fontId="21" fillId="0" borderId="3" xfId="0" applyFont="1" applyBorder="1" applyAlignment="1">
      <alignment horizontal="center" vertical="center"/>
    </xf>
    <xf numFmtId="10" fontId="21" fillId="0" borderId="4" xfId="0" applyNumberFormat="1" applyFont="1" applyBorder="1" applyAlignment="1">
      <alignment horizontal="center" vertical="center"/>
    </xf>
    <xf numFmtId="3" fontId="18" fillId="0" borderId="5" xfId="1" applyNumberFormat="1" applyFont="1" applyBorder="1" applyAlignment="1">
      <alignment horizontal="center" vertical="center"/>
    </xf>
    <xf numFmtId="0" fontId="18" fillId="0" borderId="5" xfId="0" applyFont="1" applyBorder="1" applyAlignment="1">
      <alignment horizontal="center" vertical="center"/>
    </xf>
    <xf numFmtId="0" fontId="22" fillId="0" borderId="0" xfId="0" applyFont="1" applyAlignment="1">
      <alignment vertical="center"/>
    </xf>
    <xf numFmtId="164" fontId="22" fillId="4" borderId="5" xfId="0" applyNumberFormat="1" applyFont="1" applyFill="1" applyBorder="1" applyAlignment="1">
      <alignment horizontal="center" vertical="center"/>
    </xf>
    <xf numFmtId="10" fontId="18" fillId="0" borderId="0" xfId="0" applyNumberFormat="1" applyFont="1" applyAlignment="1">
      <alignment vertical="center"/>
    </xf>
    <xf numFmtId="0" fontId="23" fillId="0" borderId="0" xfId="0" applyFont="1" applyAlignment="1">
      <alignment vertical="center"/>
    </xf>
    <xf numFmtId="0" fontId="21" fillId="0" borderId="0" xfId="0" applyFont="1" applyAlignment="1">
      <alignment vertical="center"/>
    </xf>
    <xf numFmtId="0" fontId="24" fillId="0" borderId="0" xfId="0" applyFont="1" applyAlignment="1">
      <alignment vertical="center"/>
    </xf>
    <xf numFmtId="0" fontId="25" fillId="5" borderId="5" xfId="0" applyFont="1" applyFill="1" applyBorder="1" applyAlignment="1">
      <alignment horizontal="right" vertical="center"/>
    </xf>
    <xf numFmtId="0" fontId="22" fillId="5" borderId="6" xfId="0" applyFont="1" applyFill="1" applyBorder="1" applyAlignment="1">
      <alignment vertical="center"/>
    </xf>
    <xf numFmtId="0" fontId="22" fillId="5" borderId="7" xfId="0" applyFont="1" applyFill="1" applyBorder="1" applyAlignment="1">
      <alignment horizontal="center" vertical="center"/>
    </xf>
    <xf numFmtId="0" fontId="18" fillId="0" borderId="5" xfId="0" applyFont="1" applyBorder="1" applyAlignment="1">
      <alignment horizontal="right" vertical="center"/>
    </xf>
    <xf numFmtId="0" fontId="18" fillId="0" borderId="6" xfId="0" applyFont="1" applyBorder="1" applyAlignment="1">
      <alignment vertical="center"/>
    </xf>
    <xf numFmtId="165" fontId="18" fillId="0" borderId="7" xfId="1" applyNumberFormat="1" applyFont="1" applyBorder="1" applyAlignment="1">
      <alignment vertical="center"/>
    </xf>
    <xf numFmtId="0" fontId="18" fillId="4" borderId="6" xfId="0" applyFont="1" applyFill="1" applyBorder="1" applyAlignment="1">
      <alignment vertical="center"/>
    </xf>
    <xf numFmtId="165" fontId="18" fillId="4" borderId="7" xfId="1" applyNumberFormat="1" applyFont="1" applyFill="1" applyBorder="1" applyAlignment="1">
      <alignment vertical="center"/>
    </xf>
    <xf numFmtId="0" fontId="18" fillId="0" borderId="7" xfId="0" applyFont="1" applyBorder="1" applyAlignment="1">
      <alignment horizontal="right" vertical="center"/>
    </xf>
    <xf numFmtId="165" fontId="18" fillId="0" borderId="7" xfId="0" applyNumberFormat="1" applyFont="1" applyBorder="1" applyAlignment="1">
      <alignment vertical="center"/>
    </xf>
    <xf numFmtId="165" fontId="18" fillId="4" borderId="7" xfId="0" applyNumberFormat="1" applyFont="1" applyFill="1" applyBorder="1" applyAlignment="1">
      <alignment vertical="center"/>
    </xf>
    <xf numFmtId="164" fontId="20" fillId="0" borderId="7" xfId="2" applyNumberFormat="1" applyFont="1" applyBorder="1" applyAlignment="1">
      <alignment vertical="center"/>
    </xf>
    <xf numFmtId="0" fontId="23" fillId="0" borderId="5" xfId="0" applyFont="1" applyBorder="1" applyAlignment="1">
      <alignment horizontal="right" vertical="center"/>
    </xf>
    <xf numFmtId="165" fontId="18" fillId="0" borderId="0" xfId="0" applyNumberFormat="1" applyFont="1" applyAlignment="1">
      <alignment vertical="center"/>
    </xf>
    <xf numFmtId="165" fontId="24" fillId="0" borderId="7" xfId="0" applyNumberFormat="1" applyFont="1" applyBorder="1" applyAlignment="1">
      <alignment vertical="center"/>
    </xf>
    <xf numFmtId="9" fontId="24" fillId="0" borderId="7" xfId="2" applyFont="1" applyBorder="1" applyAlignment="1">
      <alignment vertical="center"/>
    </xf>
    <xf numFmtId="165" fontId="24" fillId="0" borderId="7" xfId="1" applyNumberFormat="1" applyFont="1" applyBorder="1" applyAlignment="1">
      <alignment vertical="center"/>
    </xf>
    <xf numFmtId="165" fontId="26" fillId="0" borderId="7" xfId="0" applyNumberFormat="1" applyFont="1" applyBorder="1" applyAlignment="1">
      <alignment vertical="center"/>
    </xf>
    <xf numFmtId="0" fontId="27" fillId="0" borderId="0" xfId="0" applyFont="1" applyAlignment="1">
      <alignment vertical="center"/>
    </xf>
    <xf numFmtId="43" fontId="18" fillId="0" borderId="0" xfId="0" applyNumberFormat="1" applyFont="1" applyAlignment="1">
      <alignment vertical="center"/>
    </xf>
    <xf numFmtId="0" fontId="28" fillId="0" borderId="0" xfId="0" applyFont="1" applyAlignment="1">
      <alignment vertical="center"/>
    </xf>
    <xf numFmtId="164" fontId="29" fillId="7" borderId="5" xfId="0" applyNumberFormat="1" applyFont="1" applyFill="1" applyBorder="1" applyAlignment="1">
      <alignment horizontal="center" vertical="center"/>
    </xf>
    <xf numFmtId="0" fontId="18" fillId="0" borderId="11" xfId="0" applyFont="1" applyBorder="1" applyAlignment="1">
      <alignment vertical="center"/>
    </xf>
    <xf numFmtId="0" fontId="18" fillId="0" borderId="5" xfId="0" applyFont="1" applyBorder="1" applyAlignment="1">
      <alignment vertical="center"/>
    </xf>
    <xf numFmtId="43" fontId="18" fillId="0" borderId="6" xfId="1" applyFont="1" applyBorder="1" applyAlignment="1">
      <alignment vertical="center"/>
    </xf>
    <xf numFmtId="165" fontId="18" fillId="0" borderId="5" xfId="1" applyNumberFormat="1" applyFont="1" applyBorder="1" applyAlignment="1">
      <alignment vertical="center"/>
    </xf>
    <xf numFmtId="43" fontId="18" fillId="0" borderId="0" xfId="1" applyFont="1" applyAlignment="1">
      <alignment vertical="center"/>
    </xf>
    <xf numFmtId="0" fontId="26"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24" fillId="0" borderId="5" xfId="0" applyFont="1" applyBorder="1" applyAlignment="1">
      <alignment horizontal="center" vertical="center"/>
    </xf>
    <xf numFmtId="15" fontId="24" fillId="0" borderId="5" xfId="0" applyNumberFormat="1" applyFont="1" applyBorder="1" applyAlignment="1">
      <alignment horizontal="center" vertical="center"/>
    </xf>
    <xf numFmtId="3" fontId="24" fillId="0" borderId="5" xfId="0" applyNumberFormat="1" applyFont="1" applyBorder="1" applyAlignment="1">
      <alignment horizontal="center" vertical="center"/>
    </xf>
    <xf numFmtId="3" fontId="32" fillId="0" borderId="5" xfId="0" applyNumberFormat="1" applyFont="1" applyBorder="1" applyAlignment="1">
      <alignment horizontal="center" vertical="center"/>
    </xf>
    <xf numFmtId="0" fontId="26" fillId="7" borderId="5" xfId="0" applyFont="1" applyFill="1" applyBorder="1" applyAlignment="1">
      <alignment vertical="center"/>
    </xf>
    <xf numFmtId="0" fontId="26" fillId="7" borderId="5" xfId="0" applyFont="1" applyFill="1" applyBorder="1" applyAlignment="1">
      <alignment horizontal="right" vertical="center"/>
    </xf>
    <xf numFmtId="0" fontId="17" fillId="8" borderId="0" xfId="0" applyFont="1" applyFill="1" applyAlignment="1">
      <alignment vertical="center"/>
    </xf>
    <xf numFmtId="0" fontId="0" fillId="0" borderId="0" xfId="0" applyAlignment="1">
      <alignment vertical="center"/>
    </xf>
    <xf numFmtId="0" fontId="13" fillId="0" borderId="0" xfId="4" applyFont="1" applyAlignment="1" applyProtection="1">
      <alignment horizontal="center" vertical="center"/>
      <protection locked="0"/>
    </xf>
    <xf numFmtId="166" fontId="14" fillId="9" borderId="0" xfId="5" applyFont="1" applyFill="1" applyAlignment="1" applyProtection="1">
      <alignment horizontal="left" vertical="center"/>
      <protection locked="0"/>
    </xf>
    <xf numFmtId="0" fontId="13" fillId="10" borderId="0" xfId="4" applyFont="1" applyFill="1" applyAlignment="1" applyProtection="1">
      <alignment vertical="center"/>
      <protection locked="0"/>
    </xf>
    <xf numFmtId="0" fontId="13" fillId="0" borderId="0" xfId="4" applyFont="1" applyAlignment="1" applyProtection="1">
      <alignment vertical="center"/>
      <protection locked="0"/>
    </xf>
    <xf numFmtId="166" fontId="13" fillId="0" borderId="0" xfId="5" applyFont="1" applyAlignment="1" applyProtection="1">
      <alignment horizontal="left" vertical="center"/>
      <protection locked="0"/>
    </xf>
    <xf numFmtId="166" fontId="13" fillId="0" borderId="5" xfId="5" applyFont="1" applyBorder="1" applyAlignment="1" applyProtection="1">
      <alignment horizontal="left" vertical="center"/>
      <protection locked="0"/>
    </xf>
    <xf numFmtId="0" fontId="13" fillId="0" borderId="5" xfId="4" applyFont="1" applyBorder="1" applyAlignment="1" applyProtection="1">
      <alignment horizontal="center" vertical="center"/>
      <protection locked="0"/>
    </xf>
    <xf numFmtId="1" fontId="13" fillId="11" borderId="5" xfId="4" applyNumberFormat="1" applyFont="1" applyFill="1" applyBorder="1" applyAlignment="1" applyProtection="1">
      <alignment horizontal="center" vertical="center"/>
      <protection locked="0"/>
    </xf>
    <xf numFmtId="0" fontId="13" fillId="0" borderId="5" xfId="4" applyFont="1" applyBorder="1" applyAlignment="1" applyProtection="1">
      <alignment vertical="center"/>
      <protection locked="0"/>
    </xf>
    <xf numFmtId="0" fontId="13" fillId="11" borderId="5" xfId="4" applyFont="1" applyFill="1" applyBorder="1" applyAlignment="1" applyProtection="1">
      <alignment horizontal="center" vertical="center"/>
      <protection locked="0"/>
    </xf>
    <xf numFmtId="3" fontId="13" fillId="11" borderId="5" xfId="4" applyNumberFormat="1" applyFont="1" applyFill="1" applyBorder="1" applyAlignment="1" applyProtection="1">
      <alignment horizontal="center" vertical="center"/>
      <protection locked="0"/>
    </xf>
    <xf numFmtId="3" fontId="14" fillId="8" borderId="0" xfId="5" applyNumberFormat="1" applyFont="1" applyFill="1" applyAlignment="1" applyProtection="1">
      <alignment horizontal="center" vertical="center"/>
      <protection locked="0"/>
    </xf>
    <xf numFmtId="166" fontId="14" fillId="8" borderId="0" xfId="5" applyFont="1" applyFill="1" applyAlignment="1" applyProtection="1">
      <alignment horizontal="left" vertical="center"/>
      <protection locked="0"/>
    </xf>
    <xf numFmtId="0" fontId="13" fillId="8" borderId="0" xfId="4" applyFont="1" applyFill="1" applyAlignment="1" applyProtection="1">
      <alignment horizontal="center" vertical="center"/>
      <protection locked="0"/>
    </xf>
    <xf numFmtId="0" fontId="13" fillId="8" borderId="0" xfId="4" applyFont="1" applyFill="1" applyAlignment="1" applyProtection="1">
      <alignment vertical="center"/>
      <protection locked="0"/>
    </xf>
    <xf numFmtId="166" fontId="15" fillId="0" borderId="0" xfId="5" applyFont="1" applyAlignment="1" applyProtection="1">
      <alignment horizontal="left" vertical="center"/>
      <protection locked="0"/>
    </xf>
    <xf numFmtId="0" fontId="1" fillId="0" borderId="0" xfId="4" applyFont="1" applyAlignment="1" applyProtection="1">
      <alignment horizontal="center" vertical="center" wrapText="1"/>
      <protection locked="0"/>
    </xf>
    <xf numFmtId="166" fontId="1" fillId="12" borderId="5" xfId="5" applyFont="1" applyFill="1" applyBorder="1" applyAlignment="1" applyProtection="1">
      <alignment horizontal="left" vertical="center" wrapText="1"/>
      <protection locked="0"/>
    </xf>
    <xf numFmtId="0" fontId="1" fillId="12" borderId="5" xfId="4" applyFont="1" applyFill="1" applyBorder="1" applyAlignment="1" applyProtection="1">
      <alignment horizontal="center" vertical="center" wrapText="1"/>
      <protection locked="0"/>
    </xf>
    <xf numFmtId="166" fontId="13" fillId="0" borderId="5" xfId="5" applyFont="1" applyFill="1" applyBorder="1" applyAlignment="1" applyProtection="1">
      <alignment horizontal="left" vertical="center"/>
      <protection locked="0"/>
    </xf>
    <xf numFmtId="167" fontId="13" fillId="11" borderId="5" xfId="5" applyNumberFormat="1" applyFont="1" applyFill="1" applyBorder="1" applyAlignment="1" applyProtection="1">
      <alignment horizontal="center" vertical="center"/>
      <protection locked="0"/>
    </xf>
    <xf numFmtId="9" fontId="13" fillId="0" borderId="5" xfId="6" applyFont="1" applyFill="1" applyBorder="1" applyAlignment="1" applyProtection="1">
      <alignment horizontal="center" vertical="center"/>
      <protection locked="0"/>
    </xf>
    <xf numFmtId="167" fontId="13" fillId="0" borderId="5" xfId="5" applyNumberFormat="1" applyFont="1" applyFill="1" applyBorder="1" applyAlignment="1" applyProtection="1">
      <alignment horizontal="center" vertical="center"/>
      <protection locked="0"/>
    </xf>
    <xf numFmtId="167" fontId="13" fillId="0" borderId="0" xfId="5" applyNumberFormat="1" applyFont="1" applyFill="1" applyBorder="1" applyAlignment="1" applyProtection="1">
      <alignment horizontal="center" vertical="center"/>
      <protection locked="0"/>
    </xf>
    <xf numFmtId="167" fontId="13" fillId="4" borderId="5" xfId="5" applyNumberFormat="1" applyFont="1" applyFill="1" applyBorder="1" applyAlignment="1" applyProtection="1">
      <alignment horizontal="center" vertical="center"/>
      <protection locked="0"/>
    </xf>
    <xf numFmtId="166" fontId="1" fillId="5" borderId="5" xfId="5" applyFont="1" applyFill="1" applyBorder="1" applyAlignment="1" applyProtection="1">
      <alignment horizontal="left" vertical="center"/>
      <protection locked="0"/>
    </xf>
    <xf numFmtId="167" fontId="1" fillId="5" borderId="5" xfId="4" applyNumberFormat="1" applyFont="1" applyFill="1" applyBorder="1" applyAlignment="1" applyProtection="1">
      <alignment horizontal="center" vertical="center"/>
      <protection locked="0"/>
    </xf>
    <xf numFmtId="0" fontId="13" fillId="5" borderId="5" xfId="4" applyFont="1" applyFill="1" applyBorder="1" applyAlignment="1" applyProtection="1">
      <alignment vertical="center"/>
      <protection locked="0"/>
    </xf>
    <xf numFmtId="167" fontId="1" fillId="0" borderId="0" xfId="4" applyNumberFormat="1" applyFont="1" applyAlignment="1" applyProtection="1">
      <alignment horizontal="center" vertical="center"/>
      <protection locked="0"/>
    </xf>
    <xf numFmtId="166" fontId="1" fillId="0" borderId="0" xfId="5" applyFont="1" applyAlignment="1" applyProtection="1">
      <alignment horizontal="left" vertical="center"/>
      <protection locked="0"/>
    </xf>
    <xf numFmtId="0" fontId="1" fillId="0" borderId="0" xfId="4" applyFont="1" applyAlignment="1" applyProtection="1">
      <alignment horizontal="center" vertical="center"/>
      <protection locked="0"/>
    </xf>
    <xf numFmtId="3" fontId="1" fillId="0" borderId="0" xfId="4" applyNumberFormat="1" applyFont="1" applyAlignment="1" applyProtection="1">
      <alignment horizontal="center" vertical="center"/>
      <protection locked="0"/>
    </xf>
    <xf numFmtId="166" fontId="13" fillId="0" borderId="5" xfId="5" applyFont="1" applyFill="1" applyBorder="1" applyAlignment="1" applyProtection="1">
      <alignment horizontal="left" vertical="center" wrapText="1"/>
      <protection locked="0"/>
    </xf>
    <xf numFmtId="10" fontId="13" fillId="10" borderId="0" xfId="4" applyNumberFormat="1" applyFont="1" applyFill="1" applyAlignment="1" applyProtection="1">
      <alignment vertical="center"/>
      <protection locked="0"/>
    </xf>
    <xf numFmtId="10" fontId="13" fillId="0" borderId="0" xfId="4" applyNumberFormat="1" applyFont="1" applyAlignment="1" applyProtection="1">
      <alignment vertical="center"/>
      <protection locked="0"/>
    </xf>
    <xf numFmtId="9" fontId="13" fillId="0" borderId="5" xfId="6" applyFont="1" applyFill="1" applyBorder="1" applyAlignment="1" applyProtection="1">
      <alignment horizontal="center" vertical="center"/>
    </xf>
    <xf numFmtId="168" fontId="13" fillId="10" borderId="0" xfId="4" applyNumberFormat="1" applyFont="1" applyFill="1" applyAlignment="1" applyProtection="1">
      <alignment vertical="center"/>
      <protection locked="0"/>
    </xf>
    <xf numFmtId="168" fontId="13" fillId="0" borderId="0" xfId="4" applyNumberFormat="1" applyFont="1" applyAlignment="1" applyProtection="1">
      <alignment vertical="center"/>
      <protection locked="0"/>
    </xf>
    <xf numFmtId="3" fontId="13" fillId="0" borderId="5" xfId="5" applyNumberFormat="1" applyFont="1" applyBorder="1" applyAlignment="1">
      <alignment horizontal="center" vertical="center"/>
    </xf>
    <xf numFmtId="3" fontId="13" fillId="0" borderId="5" xfId="4" applyNumberFormat="1" applyFont="1" applyBorder="1" applyAlignment="1">
      <alignment horizontal="center" vertical="center"/>
    </xf>
    <xf numFmtId="10" fontId="13" fillId="10" borderId="0" xfId="6" applyNumberFormat="1" applyFont="1" applyFill="1" applyAlignment="1" applyProtection="1">
      <alignment vertical="center"/>
      <protection locked="0"/>
    </xf>
    <xf numFmtId="10" fontId="13" fillId="0" borderId="0" xfId="6" applyNumberFormat="1" applyFont="1" applyFill="1" applyAlignment="1" applyProtection="1">
      <alignment vertical="center"/>
      <protection locked="0"/>
    </xf>
    <xf numFmtId="164" fontId="13" fillId="0" borderId="5" xfId="4" applyNumberFormat="1" applyFont="1" applyBorder="1" applyAlignment="1">
      <alignment horizontal="center" vertical="center"/>
    </xf>
    <xf numFmtId="166" fontId="1" fillId="13" borderId="5" xfId="5" applyFont="1" applyFill="1" applyBorder="1" applyAlignment="1" applyProtection="1">
      <alignment horizontal="left" vertical="center"/>
      <protection locked="0"/>
    </xf>
    <xf numFmtId="167" fontId="1" fillId="13" borderId="5" xfId="4" applyNumberFormat="1" applyFont="1" applyFill="1" applyBorder="1" applyAlignment="1" applyProtection="1">
      <alignment horizontal="center" vertical="center"/>
      <protection locked="0"/>
    </xf>
    <xf numFmtId="0" fontId="13" fillId="0" borderId="5" xfId="4" applyFont="1" applyBorder="1" applyAlignment="1">
      <alignment horizontal="left" vertical="center" wrapText="1"/>
    </xf>
    <xf numFmtId="8" fontId="13" fillId="0" borderId="0" xfId="4" applyNumberFormat="1" applyFont="1" applyAlignment="1" applyProtection="1">
      <alignment vertical="center"/>
      <protection locked="0"/>
    </xf>
    <xf numFmtId="0" fontId="13" fillId="0" borderId="5" xfId="4" applyFont="1" applyBorder="1" applyAlignment="1">
      <alignment horizontal="center" vertical="center" wrapText="1"/>
    </xf>
    <xf numFmtId="166" fontId="34" fillId="0" borderId="5" xfId="5" applyFont="1" applyFill="1" applyBorder="1" applyAlignment="1" applyProtection="1">
      <alignment horizontal="left" vertical="center" wrapText="1"/>
      <protection locked="0"/>
    </xf>
    <xf numFmtId="3" fontId="13" fillId="0" borderId="5" xfId="4" applyNumberFormat="1" applyFont="1" applyBorder="1" applyAlignment="1" applyProtection="1">
      <alignment horizontal="center" vertical="center"/>
      <protection locked="0"/>
    </xf>
    <xf numFmtId="166" fontId="35" fillId="0" borderId="5" xfId="5" applyFont="1" applyFill="1" applyBorder="1" applyAlignment="1" applyProtection="1">
      <alignment horizontal="left" vertical="center" wrapText="1"/>
      <protection locked="0"/>
    </xf>
    <xf numFmtId="166" fontId="14" fillId="3" borderId="5" xfId="5" applyFont="1" applyFill="1" applyBorder="1" applyAlignment="1" applyProtection="1">
      <alignment horizontal="left" vertical="center" wrapText="1"/>
      <protection locked="0"/>
    </xf>
    <xf numFmtId="167" fontId="14" fillId="3" borderId="5" xfId="5" applyNumberFormat="1" applyFont="1" applyFill="1" applyBorder="1" applyAlignment="1" applyProtection="1">
      <alignment horizontal="center" vertical="center" wrapText="1"/>
      <protection locked="0"/>
    </xf>
    <xf numFmtId="167" fontId="14" fillId="3" borderId="5" xfId="5" applyNumberFormat="1" applyFont="1" applyFill="1" applyBorder="1" applyAlignment="1" applyProtection="1">
      <alignment horizontal="left" vertical="center" wrapText="1"/>
      <protection locked="0"/>
    </xf>
    <xf numFmtId="0" fontId="13" fillId="0" borderId="5" xfId="4" applyFont="1" applyBorder="1" applyAlignment="1" applyProtection="1">
      <alignment horizontal="center" vertical="center" wrapText="1"/>
      <protection locked="0"/>
    </xf>
    <xf numFmtId="167" fontId="13" fillId="11" borderId="5" xfId="5" applyNumberFormat="1" applyFont="1" applyFill="1" applyBorder="1" applyAlignment="1">
      <alignment horizontal="center" vertical="center"/>
    </xf>
    <xf numFmtId="167" fontId="13" fillId="0" borderId="5" xfId="5" applyNumberFormat="1" applyFont="1" applyFill="1" applyBorder="1" applyAlignment="1">
      <alignment horizontal="center" vertical="center"/>
    </xf>
    <xf numFmtId="0" fontId="15" fillId="4" borderId="5" xfId="4" applyFont="1" applyFill="1" applyBorder="1" applyAlignment="1" applyProtection="1">
      <alignment horizontal="center" vertical="center"/>
      <protection locked="0"/>
    </xf>
    <xf numFmtId="167" fontId="13" fillId="0" borderId="5" xfId="5" applyNumberFormat="1" applyFont="1" applyBorder="1" applyAlignment="1">
      <alignment horizontal="center" vertical="center"/>
    </xf>
    <xf numFmtId="0" fontId="30" fillId="0" borderId="0" xfId="4" applyFont="1" applyAlignment="1" applyProtection="1">
      <alignment horizontal="center" vertical="center"/>
      <protection locked="0"/>
    </xf>
    <xf numFmtId="166" fontId="30" fillId="0" borderId="0" xfId="5" applyFont="1" applyFill="1" applyBorder="1" applyAlignment="1">
      <alignment vertical="center"/>
    </xf>
    <xf numFmtId="167" fontId="30" fillId="0" borderId="0" xfId="5" applyNumberFormat="1" applyFont="1" applyFill="1" applyBorder="1" applyAlignment="1">
      <alignment vertical="center"/>
    </xf>
    <xf numFmtId="165" fontId="30" fillId="0" borderId="0" xfId="7" applyNumberFormat="1" applyFont="1" applyFill="1" applyBorder="1" applyAlignment="1">
      <alignment horizontal="center" vertical="center"/>
    </xf>
    <xf numFmtId="43" fontId="30" fillId="0" borderId="0" xfId="4" applyNumberFormat="1" applyFont="1" applyAlignment="1" applyProtection="1">
      <alignment vertical="center"/>
      <protection locked="0"/>
    </xf>
    <xf numFmtId="0" fontId="30" fillId="0" borderId="0" xfId="4" applyFont="1" applyAlignment="1" applyProtection="1">
      <alignment vertical="center"/>
      <protection locked="0"/>
    </xf>
    <xf numFmtId="0" fontId="30" fillId="10" borderId="0" xfId="4" applyFont="1" applyFill="1" applyAlignment="1" applyProtection="1">
      <alignment vertical="center"/>
      <protection locked="0"/>
    </xf>
    <xf numFmtId="166" fontId="29" fillId="0" borderId="0" xfId="5" applyFont="1" applyFill="1" applyBorder="1" applyAlignment="1">
      <alignment vertical="center"/>
    </xf>
    <xf numFmtId="165" fontId="29" fillId="0" borderId="0" xfId="7" applyNumberFormat="1" applyFont="1" applyFill="1" applyBorder="1" applyAlignment="1">
      <alignment horizontal="center" vertical="center"/>
    </xf>
    <xf numFmtId="167" fontId="13" fillId="0" borderId="0" xfId="5" applyNumberFormat="1" applyFont="1" applyAlignment="1" applyProtection="1">
      <alignment horizontal="center" vertical="center"/>
      <protection locked="0"/>
    </xf>
    <xf numFmtId="166" fontId="13" fillId="0" borderId="6" xfId="5" applyFont="1" applyBorder="1" applyAlignment="1">
      <alignment vertical="center"/>
    </xf>
    <xf numFmtId="165" fontId="30" fillId="0" borderId="7" xfId="7" applyNumberFormat="1" applyFont="1" applyBorder="1" applyAlignment="1">
      <alignment horizontal="center" vertical="center"/>
    </xf>
    <xf numFmtId="165" fontId="30" fillId="0" borderId="7" xfId="7" applyNumberFormat="1" applyFont="1" applyBorder="1" applyAlignment="1">
      <alignment horizontal="right" vertical="center"/>
    </xf>
    <xf numFmtId="169" fontId="30" fillId="0" borderId="7" xfId="7" applyNumberFormat="1" applyFont="1" applyBorder="1" applyAlignment="1">
      <alignment horizontal="center" vertical="center"/>
    </xf>
    <xf numFmtId="9" fontId="30" fillId="0" borderId="7" xfId="6" applyFont="1" applyFill="1" applyBorder="1" applyAlignment="1">
      <alignment horizontal="center" vertical="center"/>
    </xf>
    <xf numFmtId="9" fontId="30" fillId="4" borderId="7" xfId="6" applyFont="1" applyFill="1" applyBorder="1" applyAlignment="1">
      <alignment horizontal="center" vertical="center"/>
    </xf>
    <xf numFmtId="9" fontId="30" fillId="0" borderId="7" xfId="6" applyFont="1" applyBorder="1" applyAlignment="1">
      <alignment horizontal="center" vertical="center"/>
    </xf>
    <xf numFmtId="164" fontId="13" fillId="0" borderId="7" xfId="6" applyNumberFormat="1" applyFont="1" applyBorder="1" applyAlignment="1">
      <alignment horizontal="center" vertical="center"/>
    </xf>
    <xf numFmtId="166" fontId="14" fillId="3" borderId="12" xfId="5" applyFont="1" applyFill="1" applyBorder="1" applyAlignment="1">
      <alignment vertical="center"/>
    </xf>
    <xf numFmtId="165" fontId="14" fillId="14" borderId="13" xfId="7" applyNumberFormat="1" applyFont="1" applyFill="1" applyBorder="1" applyAlignment="1">
      <alignment vertical="center"/>
    </xf>
    <xf numFmtId="166" fontId="14" fillId="0" borderId="0" xfId="5" applyFont="1" applyFill="1" applyBorder="1" applyAlignment="1">
      <alignment vertical="center"/>
    </xf>
    <xf numFmtId="165" fontId="14" fillId="0" borderId="0" xfId="7" applyNumberFormat="1" applyFont="1" applyFill="1" applyBorder="1" applyAlignment="1">
      <alignment vertical="center"/>
    </xf>
    <xf numFmtId="166" fontId="14" fillId="6" borderId="8" xfId="5" applyFont="1" applyFill="1" applyBorder="1" applyAlignment="1" applyProtection="1">
      <alignment horizontal="left" vertical="center" wrapText="1"/>
      <protection locked="0"/>
    </xf>
    <xf numFmtId="0" fontId="14" fillId="6" borderId="10" xfId="4" applyFont="1" applyFill="1" applyBorder="1" applyAlignment="1" applyProtection="1">
      <alignment horizontal="center" vertical="center"/>
      <protection locked="0"/>
    </xf>
    <xf numFmtId="166" fontId="1" fillId="15" borderId="5" xfId="5" applyFont="1" applyFill="1" applyBorder="1" applyAlignment="1" applyProtection="1">
      <alignment horizontal="left" vertical="center"/>
      <protection locked="0"/>
    </xf>
    <xf numFmtId="165" fontId="1" fillId="15" borderId="5" xfId="4" applyNumberFormat="1" applyFont="1" applyFill="1" applyBorder="1" applyAlignment="1" applyProtection="1">
      <alignment horizontal="center" vertical="center"/>
      <protection locked="0"/>
    </xf>
    <xf numFmtId="165" fontId="14" fillId="6" borderId="10" xfId="4" applyNumberFormat="1" applyFont="1" applyFill="1" applyBorder="1" applyAlignment="1" applyProtection="1">
      <alignment horizontal="center" vertical="center"/>
      <protection locked="0"/>
    </xf>
    <xf numFmtId="166" fontId="14" fillId="16" borderId="5" xfId="5" applyFont="1" applyFill="1" applyBorder="1" applyAlignment="1" applyProtection="1">
      <alignment horizontal="left" vertical="center" wrapText="1"/>
      <protection locked="0"/>
    </xf>
    <xf numFmtId="167" fontId="14" fillId="16" borderId="5" xfId="5" applyNumberFormat="1" applyFont="1" applyFill="1" applyBorder="1" applyAlignment="1" applyProtection="1">
      <alignment horizontal="center" vertical="center" wrapText="1"/>
      <protection locked="0"/>
    </xf>
    <xf numFmtId="170" fontId="13" fillId="0" borderId="0" xfId="4" applyNumberFormat="1" applyFont="1" applyAlignment="1" applyProtection="1">
      <alignment vertical="center"/>
      <protection locked="0"/>
    </xf>
    <xf numFmtId="1" fontId="13" fillId="0" borderId="0" xfId="4" applyNumberFormat="1" applyFont="1" applyAlignment="1" applyProtection="1">
      <alignment vertical="center"/>
      <protection locked="0"/>
    </xf>
    <xf numFmtId="0" fontId="36" fillId="0" borderId="0" xfId="4" applyFont="1"/>
    <xf numFmtId="0" fontId="36" fillId="0" borderId="5" xfId="4" applyFont="1" applyBorder="1"/>
    <xf numFmtId="165" fontId="13" fillId="0" borderId="0" xfId="4" applyNumberFormat="1" applyFont="1" applyAlignment="1" applyProtection="1">
      <alignment vertical="center"/>
      <protection locked="0"/>
    </xf>
    <xf numFmtId="166" fontId="14" fillId="3" borderId="14" xfId="5" applyFont="1" applyFill="1" applyBorder="1" applyAlignment="1">
      <alignment vertical="center"/>
    </xf>
    <xf numFmtId="165" fontId="14" fillId="14" borderId="15" xfId="7" applyNumberFormat="1" applyFont="1" applyFill="1" applyBorder="1" applyAlignment="1">
      <alignment vertical="center"/>
    </xf>
    <xf numFmtId="167" fontId="13" fillId="4" borderId="5" xfId="5" applyNumberFormat="1" applyFont="1" applyFill="1" applyBorder="1" applyAlignment="1">
      <alignment horizontal="center" vertical="center"/>
    </xf>
    <xf numFmtId="165" fontId="13" fillId="4" borderId="16" xfId="7" applyNumberFormat="1" applyFont="1" applyFill="1" applyBorder="1" applyAlignment="1">
      <alignment vertical="center"/>
    </xf>
    <xf numFmtId="0" fontId="37" fillId="17" borderId="1" xfId="4" applyFont="1" applyFill="1" applyBorder="1" applyAlignment="1">
      <alignment vertical="center" wrapText="1"/>
    </xf>
    <xf numFmtId="0" fontId="37" fillId="17" borderId="2" xfId="4" applyFont="1" applyFill="1" applyBorder="1" applyAlignment="1">
      <alignment horizontal="center" vertical="center" wrapText="1"/>
    </xf>
    <xf numFmtId="0" fontId="36" fillId="0" borderId="3" xfId="4" applyFont="1" applyBorder="1" applyAlignment="1">
      <alignment vertical="center"/>
    </xf>
    <xf numFmtId="3" fontId="36" fillId="4" borderId="4" xfId="4" applyNumberFormat="1" applyFont="1" applyFill="1" applyBorder="1" applyAlignment="1">
      <alignment horizontal="center" vertical="center"/>
    </xf>
    <xf numFmtId="166" fontId="14" fillId="6" borderId="12" xfId="5" applyFont="1" applyFill="1" applyBorder="1" applyAlignment="1">
      <alignment vertical="center"/>
    </xf>
    <xf numFmtId="165" fontId="14" fillId="18" borderId="13" xfId="7" applyNumberFormat="1" applyFont="1" applyFill="1" applyBorder="1" applyAlignment="1">
      <alignment vertical="center"/>
    </xf>
    <xf numFmtId="167" fontId="15" fillId="0" borderId="0" xfId="4" applyNumberFormat="1" applyFont="1" applyAlignment="1" applyProtection="1">
      <alignment vertical="center"/>
      <protection locked="0"/>
    </xf>
    <xf numFmtId="166" fontId="13" fillId="0" borderId="5" xfId="5" applyFont="1" applyBorder="1" applyAlignment="1" applyProtection="1">
      <alignment vertical="center"/>
      <protection locked="0"/>
    </xf>
    <xf numFmtId="3" fontId="13" fillId="0" borderId="0" xfId="4" applyNumberFormat="1" applyFont="1" applyAlignment="1" applyProtection="1">
      <alignment vertical="center"/>
      <protection locked="0"/>
    </xf>
    <xf numFmtId="166" fontId="13" fillId="0" borderId="0" xfId="5" applyFont="1" applyAlignment="1" applyProtection="1">
      <alignment vertical="center"/>
      <protection locked="0"/>
    </xf>
    <xf numFmtId="166" fontId="13" fillId="0" borderId="5" xfId="5" applyFont="1" applyBorder="1" applyAlignment="1">
      <alignment vertical="center"/>
    </xf>
    <xf numFmtId="165" fontId="30" fillId="0" borderId="5" xfId="7" applyNumberFormat="1" applyFont="1" applyBorder="1" applyAlignment="1">
      <alignment horizontal="right" vertical="center"/>
    </xf>
    <xf numFmtId="165" fontId="30" fillId="0" borderId="5" xfId="7" applyNumberFormat="1" applyFont="1" applyFill="1" applyBorder="1" applyAlignment="1">
      <alignment horizontal="right" vertical="center"/>
    </xf>
    <xf numFmtId="166" fontId="14" fillId="3" borderId="17" xfId="5" applyFont="1" applyFill="1" applyBorder="1" applyAlignment="1">
      <alignment vertical="center"/>
    </xf>
    <xf numFmtId="165" fontId="14" fillId="14" borderId="18" xfId="7" applyNumberFormat="1" applyFont="1" applyFill="1" applyBorder="1" applyAlignment="1">
      <alignment vertical="center"/>
    </xf>
    <xf numFmtId="9" fontId="13" fillId="0" borderId="0" xfId="4" applyNumberFormat="1" applyFont="1" applyAlignment="1" applyProtection="1">
      <alignment horizontal="center" vertical="center"/>
      <protection locked="0"/>
    </xf>
    <xf numFmtId="3" fontId="13" fillId="0" borderId="0" xfId="4" applyNumberFormat="1" applyFont="1" applyAlignment="1" applyProtection="1">
      <alignment horizontal="center" vertical="center"/>
      <protection locked="0"/>
    </xf>
    <xf numFmtId="171" fontId="13" fillId="0" borderId="0" xfId="4" applyNumberFormat="1" applyFont="1" applyAlignment="1" applyProtection="1">
      <alignment horizontal="center" vertical="center"/>
      <protection locked="0"/>
    </xf>
    <xf numFmtId="6" fontId="13" fillId="0" borderId="0" xfId="4" applyNumberFormat="1" applyFont="1" applyAlignment="1" applyProtection="1">
      <alignment horizontal="center" vertical="center"/>
      <protection locked="0"/>
    </xf>
    <xf numFmtId="8" fontId="13" fillId="0" borderId="0" xfId="4" applyNumberFormat="1" applyFont="1" applyAlignment="1" applyProtection="1">
      <alignment horizontal="center" vertical="center"/>
      <protection locked="0"/>
    </xf>
    <xf numFmtId="0" fontId="32" fillId="0" borderId="0" xfId="0" applyFont="1" applyAlignment="1">
      <alignment vertical="center"/>
    </xf>
    <xf numFmtId="0" fontId="18" fillId="0" borderId="0" xfId="0" applyFont="1" applyAlignment="1">
      <alignment horizontal="right" vertical="center"/>
    </xf>
    <xf numFmtId="165" fontId="26" fillId="0" borderId="0" xfId="0" applyNumberFormat="1" applyFont="1" applyAlignment="1">
      <alignment vertical="center"/>
    </xf>
    <xf numFmtId="0" fontId="18" fillId="0" borderId="5" xfId="0" applyFont="1" applyBorder="1" applyAlignment="1">
      <alignment vertical="center" wrapText="1"/>
    </xf>
    <xf numFmtId="0" fontId="22" fillId="0" borderId="5" xfId="0" applyFont="1" applyBorder="1" applyAlignment="1">
      <alignment vertical="center" wrapText="1"/>
    </xf>
    <xf numFmtId="0" fontId="18" fillId="4" borderId="5" xfId="0" applyFont="1" applyFill="1" applyBorder="1" applyAlignment="1">
      <alignment horizontal="right" vertical="center"/>
    </xf>
    <xf numFmtId="0" fontId="4" fillId="0" borderId="5" xfId="0" applyFont="1" applyBorder="1" applyAlignment="1">
      <alignment vertical="center"/>
    </xf>
    <xf numFmtId="0" fontId="3" fillId="0" borderId="5" xfId="0" applyFont="1" applyBorder="1" applyAlignment="1">
      <alignment vertical="center"/>
    </xf>
    <xf numFmtId="0" fontId="0" fillId="0" borderId="5" xfId="0" applyBorder="1" applyAlignment="1">
      <alignment horizontal="center"/>
    </xf>
    <xf numFmtId="3" fontId="0" fillId="0" borderId="5" xfId="0" applyNumberFormat="1" applyBorder="1" applyAlignment="1">
      <alignment horizontal="center"/>
    </xf>
    <xf numFmtId="0" fontId="0" fillId="0" borderId="19" xfId="0" applyBorder="1" applyAlignment="1">
      <alignment horizontal="center"/>
    </xf>
    <xf numFmtId="9" fontId="0" fillId="0" borderId="5" xfId="0" applyNumberFormat="1" applyBorder="1" applyAlignment="1">
      <alignment horizontal="center"/>
    </xf>
    <xf numFmtId="0" fontId="16" fillId="8" borderId="21" xfId="0" applyFont="1" applyFill="1" applyBorder="1" applyAlignment="1">
      <alignment vertical="center"/>
    </xf>
    <xf numFmtId="0" fontId="0" fillId="8" borderId="21" xfId="0" applyFill="1" applyBorder="1" applyAlignment="1">
      <alignment vertical="center"/>
    </xf>
    <xf numFmtId="0" fontId="0" fillId="8" borderId="22" xfId="0" applyFill="1" applyBorder="1" applyAlignment="1">
      <alignment vertical="center"/>
    </xf>
    <xf numFmtId="0" fontId="2" fillId="0" borderId="23" xfId="0" applyFont="1" applyBorder="1" applyAlignment="1">
      <alignment vertical="center"/>
    </xf>
    <xf numFmtId="0" fontId="0" fillId="0" borderId="24" xfId="0" applyBorder="1"/>
    <xf numFmtId="0" fontId="4" fillId="0" borderId="23" xfId="0" applyFont="1" applyBorder="1" applyAlignment="1">
      <alignment vertical="center"/>
    </xf>
    <xf numFmtId="0" fontId="0" fillId="0" borderId="23" xfId="0" applyBorder="1"/>
    <xf numFmtId="0" fontId="4" fillId="0" borderId="25" xfId="0" applyFont="1" applyBorder="1" applyAlignment="1">
      <alignment vertical="center"/>
    </xf>
    <xf numFmtId="0" fontId="39" fillId="0" borderId="27" xfId="0" applyFont="1" applyBorder="1" applyAlignment="1">
      <alignment vertical="center"/>
    </xf>
    <xf numFmtId="0" fontId="39" fillId="0" borderId="25" xfId="0" applyFont="1" applyBorder="1" applyAlignment="1">
      <alignment vertical="center"/>
    </xf>
    <xf numFmtId="0" fontId="4" fillId="0" borderId="27" xfId="0" applyFont="1" applyBorder="1" applyAlignment="1">
      <alignment vertical="center"/>
    </xf>
    <xf numFmtId="0" fontId="4" fillId="0" borderId="25" xfId="0" applyFont="1" applyBorder="1" applyAlignment="1">
      <alignment vertical="center" wrapText="1"/>
    </xf>
    <xf numFmtId="0" fontId="4" fillId="0" borderId="28" xfId="0" applyFont="1" applyBorder="1" applyAlignment="1">
      <alignment vertical="center"/>
    </xf>
    <xf numFmtId="0" fontId="0" fillId="0" borderId="30" xfId="0" applyBorder="1"/>
    <xf numFmtId="0" fontId="0" fillId="0" borderId="4" xfId="0" applyBorder="1"/>
    <xf numFmtId="0" fontId="6" fillId="0" borderId="0" xfId="0" applyFont="1" applyAlignment="1">
      <alignment vertical="center" readingOrder="1"/>
    </xf>
    <xf numFmtId="3" fontId="42" fillId="0" borderId="5" xfId="0" applyNumberFormat="1" applyFont="1" applyBorder="1" applyAlignment="1">
      <alignment horizontal="center"/>
    </xf>
    <xf numFmtId="3" fontId="43" fillId="0" borderId="5" xfId="0" applyNumberFormat="1" applyFont="1" applyBorder="1" applyAlignment="1">
      <alignment horizontal="center"/>
    </xf>
    <xf numFmtId="0" fontId="7" fillId="0" borderId="23" xfId="0" applyFont="1" applyBorder="1" applyAlignment="1">
      <alignment horizontal="justify" vertical="center" readingOrder="1"/>
    </xf>
    <xf numFmtId="0" fontId="6" fillId="0" borderId="25" xfId="0" applyFont="1" applyBorder="1" applyAlignment="1">
      <alignment horizontal="justify" vertical="center" readingOrder="1"/>
    </xf>
    <xf numFmtId="0" fontId="8" fillId="0" borderId="28" xfId="0" applyFont="1" applyBorder="1" applyAlignment="1">
      <alignment horizontal="justify" vertical="center" readingOrder="1"/>
    </xf>
    <xf numFmtId="0" fontId="6" fillId="0" borderId="23" xfId="0" applyFont="1" applyBorder="1" applyAlignment="1">
      <alignment horizontal="left" vertical="center" readingOrder="1"/>
    </xf>
    <xf numFmtId="0" fontId="6" fillId="0" borderId="23" xfId="0" applyFont="1" applyBorder="1" applyAlignment="1">
      <alignment horizontal="justify" vertical="center" readingOrder="1"/>
    </xf>
    <xf numFmtId="0" fontId="11" fillId="0" borderId="25" xfId="0" applyFont="1" applyBorder="1" applyAlignment="1">
      <alignment horizontal="justify" vertical="center" readingOrder="1"/>
    </xf>
    <xf numFmtId="0" fontId="11" fillId="0" borderId="28" xfId="0" applyFont="1" applyBorder="1" applyAlignment="1">
      <alignment horizontal="justify" vertical="center" readingOrder="1"/>
    </xf>
    <xf numFmtId="0" fontId="11" fillId="0" borderId="27" xfId="0" applyFont="1" applyBorder="1" applyAlignment="1">
      <alignment horizontal="justify" vertical="center" readingOrder="1"/>
    </xf>
    <xf numFmtId="0" fontId="42" fillId="0" borderId="19" xfId="0" applyFont="1" applyBorder="1" applyAlignment="1">
      <alignment horizontal="center"/>
    </xf>
    <xf numFmtId="0" fontId="4" fillId="0" borderId="23" xfId="0" applyFont="1" applyBorder="1" applyAlignment="1">
      <alignment horizontal="left" vertical="center" indent="3"/>
    </xf>
    <xf numFmtId="9" fontId="0" fillId="0" borderId="19" xfId="0" applyNumberFormat="1" applyBorder="1" applyAlignment="1">
      <alignment horizontal="center"/>
    </xf>
    <xf numFmtId="3" fontId="0" fillId="20" borderId="5" xfId="0" applyNumberFormat="1" applyFill="1" applyBorder="1" applyAlignment="1">
      <alignment horizontal="center"/>
    </xf>
    <xf numFmtId="3" fontId="1" fillId="19" borderId="5" xfId="0" applyNumberFormat="1" applyFont="1" applyFill="1" applyBorder="1" applyAlignment="1">
      <alignment horizontal="center"/>
    </xf>
    <xf numFmtId="3" fontId="0" fillId="20" borderId="19" xfId="0" applyNumberFormat="1" applyFill="1" applyBorder="1" applyAlignment="1">
      <alignment horizontal="center" vertical="center"/>
    </xf>
    <xf numFmtId="3" fontId="0" fillId="20" borderId="5" xfId="0" applyNumberFormat="1" applyFill="1" applyBorder="1" applyAlignment="1">
      <alignment horizontal="center" vertical="center"/>
    </xf>
    <xf numFmtId="3" fontId="0" fillId="0" borderId="5" xfId="0" applyNumberFormat="1" applyBorder="1" applyAlignment="1">
      <alignment horizontal="center" vertical="center"/>
    </xf>
    <xf numFmtId="10" fontId="0" fillId="19" borderId="19" xfId="0" applyNumberFormat="1" applyFill="1" applyBorder="1" applyAlignment="1">
      <alignment horizontal="center"/>
    </xf>
    <xf numFmtId="0" fontId="1" fillId="19" borderId="5" xfId="0" applyFont="1" applyFill="1" applyBorder="1" applyAlignment="1">
      <alignment horizontal="center" vertical="center" wrapText="1"/>
    </xf>
    <xf numFmtId="0" fontId="1" fillId="20" borderId="5" xfId="0" applyFont="1" applyFill="1" applyBorder="1" applyAlignment="1">
      <alignment horizontal="center" vertical="center" wrapText="1"/>
    </xf>
    <xf numFmtId="10" fontId="0" fillId="19" borderId="5" xfId="0" applyNumberFormat="1" applyFill="1" applyBorder="1" applyAlignment="1">
      <alignment horizontal="center"/>
    </xf>
    <xf numFmtId="10" fontId="0" fillId="20" borderId="5" xfId="0" applyNumberFormat="1" applyFill="1" applyBorder="1" applyAlignment="1">
      <alignment horizontal="center"/>
    </xf>
    <xf numFmtId="10" fontId="1" fillId="19" borderId="29" xfId="0" applyNumberFormat="1" applyFont="1" applyFill="1" applyBorder="1" applyAlignment="1">
      <alignment horizontal="center"/>
    </xf>
    <xf numFmtId="0" fontId="31" fillId="6" borderId="10" xfId="3" applyFont="1" applyFill="1" applyBorder="1" applyAlignment="1">
      <alignment horizontal="center" vertical="center"/>
    </xf>
    <xf numFmtId="3" fontId="1" fillId="19" borderId="29" xfId="0" applyNumberFormat="1" applyFont="1" applyFill="1" applyBorder="1" applyAlignment="1">
      <alignment horizontal="center" vertical="center"/>
    </xf>
    <xf numFmtId="6" fontId="1" fillId="19" borderId="5" xfId="0" applyNumberFormat="1" applyFont="1" applyFill="1" applyBorder="1" applyAlignment="1">
      <alignment horizontal="center"/>
    </xf>
    <xf numFmtId="10" fontId="1" fillId="19" borderId="5" xfId="0" applyNumberFormat="1" applyFont="1" applyFill="1" applyBorder="1" applyAlignment="1">
      <alignment horizontal="center"/>
    </xf>
    <xf numFmtId="0" fontId="3" fillId="0" borderId="3" xfId="0" applyFont="1" applyBorder="1" applyAlignment="1">
      <alignment vertical="center"/>
    </xf>
    <xf numFmtId="10" fontId="3" fillId="19" borderId="4" xfId="0" applyNumberFormat="1" applyFont="1" applyFill="1" applyBorder="1" applyAlignment="1">
      <alignment horizontal="center" vertical="center"/>
    </xf>
    <xf numFmtId="3" fontId="1" fillId="19" borderId="29" xfId="0" applyNumberFormat="1" applyFont="1" applyFill="1" applyBorder="1" applyAlignment="1">
      <alignment horizontal="center"/>
    </xf>
    <xf numFmtId="10" fontId="46" fillId="19" borderId="29" xfId="0" applyNumberFormat="1" applyFont="1" applyFill="1" applyBorder="1" applyAlignment="1">
      <alignment horizontal="center"/>
    </xf>
    <xf numFmtId="0" fontId="47" fillId="8" borderId="0" xfId="0" applyFont="1" applyFill="1" applyAlignment="1">
      <alignment vertical="center"/>
    </xf>
    <xf numFmtId="0" fontId="38" fillId="4" borderId="5" xfId="0" applyFont="1" applyFill="1" applyBorder="1" applyAlignment="1">
      <alignment vertical="center"/>
    </xf>
    <xf numFmtId="0" fontId="20" fillId="4" borderId="5" xfId="0" applyFont="1" applyFill="1" applyBorder="1" applyAlignment="1">
      <alignment vertical="center"/>
    </xf>
    <xf numFmtId="0" fontId="48" fillId="8" borderId="0" xfId="0" applyFont="1" applyFill="1" applyAlignment="1">
      <alignment vertical="center"/>
    </xf>
    <xf numFmtId="0" fontId="49" fillId="4" borderId="1" xfId="0" applyFont="1" applyFill="1" applyBorder="1" applyAlignment="1">
      <alignment horizontal="center" vertical="center" wrapText="1"/>
    </xf>
    <xf numFmtId="0" fontId="49" fillId="4" borderId="2" xfId="0" applyFont="1" applyFill="1" applyBorder="1" applyAlignment="1">
      <alignment horizontal="center" vertical="center" wrapText="1"/>
    </xf>
    <xf numFmtId="0" fontId="50" fillId="0" borderId="0" xfId="0" applyFont="1" applyAlignment="1">
      <alignment vertical="center"/>
    </xf>
    <xf numFmtId="0" fontId="51" fillId="0" borderId="3" xfId="0" applyFont="1" applyBorder="1" applyAlignment="1">
      <alignment horizontal="center" vertical="center"/>
    </xf>
    <xf numFmtId="10" fontId="51" fillId="0" borderId="4" xfId="0" applyNumberFormat="1" applyFont="1" applyBorder="1" applyAlignment="1">
      <alignment horizontal="center" vertical="center"/>
    </xf>
    <xf numFmtId="3" fontId="23" fillId="0" borderId="5" xfId="1" applyNumberFormat="1" applyFont="1" applyBorder="1" applyAlignment="1">
      <alignment horizontal="center" vertical="center"/>
    </xf>
    <xf numFmtId="1" fontId="23" fillId="0" borderId="5" xfId="0" applyNumberFormat="1" applyFont="1" applyBorder="1" applyAlignment="1">
      <alignment horizontal="center" vertical="center"/>
    </xf>
    <xf numFmtId="0" fontId="52" fillId="0" borderId="0" xfId="0" applyFont="1" applyAlignment="1">
      <alignment vertical="center"/>
    </xf>
    <xf numFmtId="0" fontId="23" fillId="4" borderId="5" xfId="0" applyFont="1" applyFill="1" applyBorder="1" applyAlignment="1">
      <alignment horizontal="right" vertical="center"/>
    </xf>
    <xf numFmtId="9" fontId="52" fillId="4" borderId="5" xfId="0" applyNumberFormat="1" applyFont="1" applyFill="1" applyBorder="1" applyAlignment="1">
      <alignment horizontal="center" vertical="center"/>
    </xf>
    <xf numFmtId="165" fontId="23" fillId="0" borderId="0" xfId="1" applyNumberFormat="1" applyFont="1" applyAlignment="1">
      <alignment vertical="center"/>
    </xf>
    <xf numFmtId="165" fontId="23" fillId="0" borderId="0" xfId="0" applyNumberFormat="1" applyFont="1" applyAlignment="1">
      <alignment vertical="center"/>
    </xf>
    <xf numFmtId="0" fontId="53" fillId="0" borderId="0" xfId="0" applyFont="1" applyAlignment="1">
      <alignment vertical="center"/>
    </xf>
    <xf numFmtId="43" fontId="23" fillId="0" borderId="0" xfId="0" applyNumberFormat="1" applyFont="1" applyAlignment="1">
      <alignment vertical="center"/>
    </xf>
    <xf numFmtId="0" fontId="51" fillId="0" borderId="0" xfId="0" applyFont="1" applyAlignment="1">
      <alignment vertical="center"/>
    </xf>
    <xf numFmtId="0" fontId="54" fillId="5" borderId="5" xfId="0" applyFont="1" applyFill="1" applyBorder="1" applyAlignment="1">
      <alignment horizontal="right" vertical="center"/>
    </xf>
    <xf numFmtId="0" fontId="52" fillId="5" borderId="6" xfId="0" applyFont="1" applyFill="1" applyBorder="1" applyAlignment="1">
      <alignment vertical="center"/>
    </xf>
    <xf numFmtId="0" fontId="52" fillId="5" borderId="7" xfId="0" applyFont="1" applyFill="1" applyBorder="1" applyAlignment="1">
      <alignment horizontal="center" vertical="center"/>
    </xf>
    <xf numFmtId="0" fontId="23" fillId="0" borderId="6" xfId="0" applyFont="1" applyBorder="1" applyAlignment="1">
      <alignment vertical="center"/>
    </xf>
    <xf numFmtId="165" fontId="23" fillId="0" borderId="7" xfId="1" applyNumberFormat="1" applyFont="1" applyBorder="1" applyAlignment="1">
      <alignment vertical="center"/>
    </xf>
    <xf numFmtId="0" fontId="23" fillId="4" borderId="6" xfId="0" applyFont="1" applyFill="1" applyBorder="1" applyAlignment="1">
      <alignment vertical="center"/>
    </xf>
    <xf numFmtId="165" fontId="23" fillId="4" borderId="7" xfId="1" applyNumberFormat="1" applyFont="1" applyFill="1" applyBorder="1" applyAlignment="1">
      <alignment vertical="center"/>
    </xf>
    <xf numFmtId="0" fontId="23" fillId="0" borderId="7" xfId="0" applyFont="1" applyBorder="1" applyAlignment="1">
      <alignment horizontal="right" vertical="center"/>
    </xf>
    <xf numFmtId="165" fontId="23" fillId="0" borderId="7" xfId="0" applyNumberFormat="1" applyFont="1" applyBorder="1" applyAlignment="1">
      <alignment vertical="center"/>
    </xf>
    <xf numFmtId="165" fontId="23" fillId="4" borderId="7" xfId="0" applyNumberFormat="1" applyFont="1" applyFill="1" applyBorder="1" applyAlignment="1">
      <alignment vertical="center"/>
    </xf>
    <xf numFmtId="164" fontId="50" fillId="0" borderId="7" xfId="2" applyNumberFormat="1" applyFont="1" applyBorder="1" applyAlignment="1">
      <alignment vertical="center"/>
    </xf>
    <xf numFmtId="165" fontId="53" fillId="0" borderId="7" xfId="0" applyNumberFormat="1" applyFont="1" applyBorder="1" applyAlignment="1">
      <alignment vertical="center"/>
    </xf>
    <xf numFmtId="9" fontId="53" fillId="0" borderId="7" xfId="2" applyFont="1" applyBorder="1" applyAlignment="1">
      <alignment vertical="center"/>
    </xf>
    <xf numFmtId="165" fontId="53" fillId="0" borderId="7" xfId="1" applyNumberFormat="1" applyFont="1" applyBorder="1" applyAlignment="1">
      <alignment vertical="center"/>
    </xf>
    <xf numFmtId="165" fontId="55" fillId="0" borderId="7" xfId="0" applyNumberFormat="1" applyFont="1" applyBorder="1" applyAlignment="1">
      <alignment vertical="center"/>
    </xf>
    <xf numFmtId="0" fontId="56" fillId="4" borderId="5" xfId="0" applyFont="1" applyFill="1" applyBorder="1" applyAlignment="1">
      <alignment vertical="center"/>
    </xf>
    <xf numFmtId="0" fontId="23" fillId="0" borderId="5" xfId="0" applyFont="1" applyBorder="1" applyAlignment="1">
      <alignment vertical="center"/>
    </xf>
    <xf numFmtId="0" fontId="23" fillId="0" borderId="5" xfId="0" applyFont="1" applyBorder="1" applyAlignment="1">
      <alignment vertical="center" wrapText="1"/>
    </xf>
    <xf numFmtId="0" fontId="50" fillId="4" borderId="5" xfId="0" applyFont="1" applyFill="1" applyBorder="1" applyAlignment="1">
      <alignment vertical="center"/>
    </xf>
    <xf numFmtId="0" fontId="52" fillId="0" borderId="5" xfId="0" applyFont="1" applyBorder="1" applyAlignment="1">
      <alignment vertical="center" wrapText="1"/>
    </xf>
    <xf numFmtId="0" fontId="38" fillId="4" borderId="5" xfId="0" applyFont="1" applyFill="1" applyBorder="1" applyAlignment="1">
      <alignment vertical="center" wrapText="1"/>
    </xf>
    <xf numFmtId="164" fontId="26" fillId="7" borderId="5" xfId="0" applyNumberFormat="1" applyFont="1" applyFill="1" applyBorder="1" applyAlignment="1">
      <alignment horizontal="center" vertical="center"/>
    </xf>
    <xf numFmtId="43" fontId="20" fillId="11" borderId="6" xfId="1" applyFont="1" applyFill="1" applyBorder="1" applyAlignment="1">
      <alignment vertical="center"/>
    </xf>
    <xf numFmtId="0" fontId="18" fillId="11" borderId="11" xfId="0" applyFont="1" applyFill="1" applyBorder="1" applyAlignment="1">
      <alignment vertical="center"/>
    </xf>
    <xf numFmtId="0" fontId="18" fillId="11" borderId="5" xfId="0" applyFont="1" applyFill="1" applyBorder="1" applyAlignment="1">
      <alignment vertical="center"/>
    </xf>
    <xf numFmtId="43" fontId="18" fillId="0" borderId="6" xfId="1" applyFont="1" applyBorder="1" applyAlignment="1">
      <alignment vertical="center" wrapText="1"/>
    </xf>
    <xf numFmtId="43" fontId="18" fillId="2" borderId="6" xfId="1" applyFont="1" applyFill="1" applyBorder="1" applyAlignment="1">
      <alignment vertical="center"/>
    </xf>
    <xf numFmtId="0" fontId="18" fillId="2" borderId="11" xfId="0" applyFont="1" applyFill="1" applyBorder="1" applyAlignment="1">
      <alignment vertical="center"/>
    </xf>
    <xf numFmtId="165" fontId="22" fillId="2" borderId="5" xfId="0" applyNumberFormat="1" applyFont="1" applyFill="1" applyBorder="1" applyAlignment="1">
      <alignment vertical="center"/>
    </xf>
    <xf numFmtId="0" fontId="20" fillId="11" borderId="6" xfId="0" applyFont="1" applyFill="1" applyBorder="1" applyAlignment="1">
      <alignment vertical="center"/>
    </xf>
    <xf numFmtId="165" fontId="18" fillId="11" borderId="5" xfId="1" applyNumberFormat="1" applyFont="1" applyFill="1" applyBorder="1" applyAlignment="1">
      <alignment vertical="center"/>
    </xf>
    <xf numFmtId="0" fontId="18" fillId="2" borderId="6" xfId="0" applyFont="1" applyFill="1" applyBorder="1" applyAlignment="1">
      <alignment vertical="center"/>
    </xf>
    <xf numFmtId="0" fontId="22" fillId="0" borderId="0" xfId="0" applyFont="1" applyAlignment="1">
      <alignment horizontal="left" vertical="center"/>
    </xf>
    <xf numFmtId="0" fontId="57" fillId="8" borderId="20" xfId="0" applyFont="1" applyFill="1" applyBorder="1" applyAlignment="1">
      <alignment vertical="center"/>
    </xf>
    <xf numFmtId="0" fontId="4" fillId="0" borderId="0" xfId="0" applyFont="1" applyAlignment="1">
      <alignment horizontal="left" vertical="center" wrapText="1"/>
    </xf>
    <xf numFmtId="0" fontId="3" fillId="2" borderId="5" xfId="0" applyFont="1" applyFill="1" applyBorder="1" applyAlignment="1">
      <alignment horizontal="left" vertical="center"/>
    </xf>
    <xf numFmtId="0" fontId="4" fillId="0" borderId="5" xfId="0" applyFont="1" applyBorder="1" applyAlignment="1">
      <alignment horizontal="left" vertical="center"/>
    </xf>
    <xf numFmtId="0" fontId="57" fillId="8" borderId="30" xfId="0" applyFont="1" applyFill="1" applyBorder="1" applyAlignment="1">
      <alignment horizontal="left" vertical="center"/>
    </xf>
    <xf numFmtId="0" fontId="39" fillId="2" borderId="25" xfId="0" applyFont="1" applyFill="1" applyBorder="1" applyAlignment="1">
      <alignment horizontal="left" vertical="center" wrapText="1"/>
    </xf>
    <xf numFmtId="0" fontId="39" fillId="2" borderId="5" xfId="0" applyFont="1" applyFill="1" applyBorder="1" applyAlignment="1">
      <alignment horizontal="left" vertical="center" wrapText="1"/>
    </xf>
    <xf numFmtId="0" fontId="39" fillId="2" borderId="26" xfId="0" applyFont="1" applyFill="1" applyBorder="1" applyAlignment="1">
      <alignment horizontal="left" vertical="center" wrapText="1"/>
    </xf>
    <xf numFmtId="0" fontId="39" fillId="2" borderId="23"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24" xfId="0" applyFont="1" applyFill="1" applyBorder="1" applyAlignment="1">
      <alignment horizontal="left" vertical="center" wrapText="1"/>
    </xf>
    <xf numFmtId="0" fontId="39" fillId="2" borderId="25" xfId="0" applyFont="1" applyFill="1" applyBorder="1" applyAlignment="1">
      <alignment horizontal="left" vertical="center"/>
    </xf>
    <xf numFmtId="0" fontId="39" fillId="2" borderId="5" xfId="0" applyFont="1" applyFill="1" applyBorder="1" applyAlignment="1">
      <alignment horizontal="left" vertical="center"/>
    </xf>
    <xf numFmtId="0" fontId="39" fillId="2" borderId="26" xfId="0" applyFont="1" applyFill="1" applyBorder="1" applyAlignment="1">
      <alignment horizontal="left" vertical="center"/>
    </xf>
    <xf numFmtId="0" fontId="10" fillId="2" borderId="31" xfId="0" applyFont="1" applyFill="1" applyBorder="1" applyAlignment="1">
      <alignment horizontal="left" vertical="center" readingOrder="1"/>
    </xf>
    <xf numFmtId="0" fontId="10" fillId="2" borderId="11" xfId="0" applyFont="1" applyFill="1" applyBorder="1" applyAlignment="1">
      <alignment horizontal="left" vertical="center" readingOrder="1"/>
    </xf>
    <xf numFmtId="0" fontId="10" fillId="2" borderId="32" xfId="0" applyFont="1" applyFill="1" applyBorder="1" applyAlignment="1">
      <alignment horizontal="left" vertical="center" readingOrder="1"/>
    </xf>
    <xf numFmtId="0" fontId="57" fillId="8" borderId="20" xfId="0" applyFont="1" applyFill="1" applyBorder="1" applyAlignment="1">
      <alignment horizontal="left" vertical="center"/>
    </xf>
    <xf numFmtId="0" fontId="57" fillId="8" borderId="21" xfId="0" applyFont="1" applyFill="1" applyBorder="1" applyAlignment="1">
      <alignment horizontal="left" vertical="center"/>
    </xf>
    <xf numFmtId="0" fontId="57" fillId="8" borderId="22" xfId="0" applyFont="1" applyFill="1" applyBorder="1" applyAlignment="1">
      <alignment horizontal="left" vertical="center"/>
    </xf>
    <xf numFmtId="0" fontId="44" fillId="0" borderId="0" xfId="0" applyFont="1" applyAlignment="1">
      <alignment horizontal="left" vertical="center" wrapText="1" readingOrder="1"/>
    </xf>
    <xf numFmtId="0" fontId="7" fillId="0" borderId="23" xfId="0" applyFont="1" applyBorder="1" applyAlignment="1">
      <alignment horizontal="left" vertical="center" readingOrder="1"/>
    </xf>
    <xf numFmtId="0" fontId="7" fillId="0" borderId="0" xfId="0" applyFont="1" applyAlignment="1">
      <alignment horizontal="left" vertical="center" readingOrder="1"/>
    </xf>
    <xf numFmtId="0" fontId="7" fillId="0" borderId="24" xfId="0" applyFont="1" applyBorder="1" applyAlignment="1">
      <alignment horizontal="left" vertical="center" readingOrder="1"/>
    </xf>
    <xf numFmtId="0" fontId="6" fillId="0" borderId="23" xfId="0" applyFont="1" applyBorder="1" applyAlignment="1">
      <alignment horizontal="left" vertical="center" readingOrder="1"/>
    </xf>
    <xf numFmtId="0" fontId="6" fillId="0" borderId="0" xfId="0" applyFont="1" applyAlignment="1">
      <alignment horizontal="left" vertical="center" readingOrder="1"/>
    </xf>
    <xf numFmtId="0" fontId="6" fillId="0" borderId="24" xfId="0" applyFont="1" applyBorder="1" applyAlignment="1">
      <alignment horizontal="left" vertical="center" readingOrder="1"/>
    </xf>
    <xf numFmtId="0" fontId="6" fillId="0" borderId="23" xfId="0" applyFont="1" applyBorder="1" applyAlignment="1">
      <alignment horizontal="left" vertical="center" wrapText="1" readingOrder="1"/>
    </xf>
    <xf numFmtId="0" fontId="6" fillId="0" borderId="0" xfId="0" applyFont="1" applyAlignment="1">
      <alignment horizontal="left" vertical="center" wrapText="1" readingOrder="1"/>
    </xf>
    <xf numFmtId="0" fontId="6" fillId="0" borderId="24" xfId="0" applyFont="1" applyBorder="1" applyAlignment="1">
      <alignment horizontal="left" vertical="center" wrapText="1" readingOrder="1"/>
    </xf>
    <xf numFmtId="0" fontId="6" fillId="2" borderId="25" xfId="0" applyFont="1" applyFill="1" applyBorder="1" applyAlignment="1">
      <alignment horizontal="left" vertical="center" readingOrder="1"/>
    </xf>
    <xf numFmtId="0" fontId="6" fillId="2" borderId="5" xfId="0" applyFont="1" applyFill="1" applyBorder="1" applyAlignment="1">
      <alignment horizontal="left" vertical="center" readingOrder="1"/>
    </xf>
    <xf numFmtId="0" fontId="6" fillId="2" borderId="26" xfId="0" applyFont="1" applyFill="1" applyBorder="1" applyAlignment="1">
      <alignment horizontal="left" vertical="center" readingOrder="1"/>
    </xf>
    <xf numFmtId="0" fontId="45" fillId="0" borderId="0" xfId="0" applyFont="1" applyAlignment="1">
      <alignment horizontal="left" vertical="center" wrapText="1" readingOrder="1"/>
    </xf>
    <xf numFmtId="0" fontId="2" fillId="0" borderId="23" xfId="0" applyFont="1" applyBorder="1" applyAlignment="1">
      <alignment horizontal="left" vertical="center" wrapText="1"/>
    </xf>
    <xf numFmtId="0" fontId="2" fillId="0" borderId="0" xfId="0" applyFont="1" applyAlignment="1">
      <alignment horizontal="left" vertical="center" wrapText="1"/>
    </xf>
    <xf numFmtId="0" fontId="2" fillId="0" borderId="24" xfId="0" applyFont="1" applyBorder="1" applyAlignment="1">
      <alignment horizontal="left" vertical="center" wrapText="1"/>
    </xf>
    <xf numFmtId="0" fontId="18" fillId="0" borderId="0" xfId="0" applyFont="1" applyAlignment="1">
      <alignment horizontal="left" vertical="center" wrapText="1"/>
    </xf>
    <xf numFmtId="0" fontId="31" fillId="6" borderId="8" xfId="3" applyFont="1" applyFill="1" applyBorder="1" applyAlignment="1">
      <alignment horizontal="center" vertical="center"/>
    </xf>
    <xf numFmtId="0" fontId="31" fillId="6" borderId="9" xfId="3" applyFont="1" applyFill="1" applyBorder="1" applyAlignment="1">
      <alignment horizontal="center" vertical="center"/>
    </xf>
    <xf numFmtId="0" fontId="26" fillId="7" borderId="6" xfId="0" applyFont="1" applyFill="1" applyBorder="1" applyAlignment="1">
      <alignment horizontal="right" vertical="center"/>
    </xf>
    <xf numFmtId="0" fontId="26" fillId="7" borderId="7" xfId="0" applyFont="1" applyFill="1" applyBorder="1" applyAlignment="1">
      <alignment horizontal="right" vertical="center"/>
    </xf>
    <xf numFmtId="0" fontId="31" fillId="6" borderId="10" xfId="3" applyFont="1" applyFill="1" applyBorder="1" applyAlignment="1">
      <alignment horizontal="center" vertical="center"/>
    </xf>
  </cellXfs>
  <cellStyles count="8">
    <cellStyle name="Comma" xfId="1" builtinId="3"/>
    <cellStyle name="Comma 2" xfId="5" xr:uid="{A4AC932F-3FF4-456C-9EC5-868FE8F8A92A}"/>
    <cellStyle name="Comma 7 2" xfId="7" xr:uid="{EA4E2ACB-A149-40CC-BF61-ECCAF1666F4A}"/>
    <cellStyle name="Normal" xfId="0" builtinId="0"/>
    <cellStyle name="Normal 2" xfId="4" xr:uid="{EB39A803-99DA-431D-A859-7807900581CD}"/>
    <cellStyle name="Normal 24" xfId="3" xr:uid="{49E72326-6D9C-461A-987D-3613A5226C04}"/>
    <cellStyle name="Percent" xfId="2" builtinId="5"/>
    <cellStyle name="Percent 2" xfId="6" xr:uid="{F8092B3D-F550-4114-B378-FC275B9FC1FF}"/>
  </cellStyles>
  <dxfs count="0"/>
  <tableStyles count="0" defaultTableStyle="TableStyleMedium2" defaultPivotStyle="PivotStyleLight16"/>
  <colors>
    <mruColors>
      <color rgb="FFF0E684"/>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IN" b="1"/>
              <a:t>Life Insurance Cover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FF0000"/>
            </a:solidFill>
            <a:ln>
              <a:noFill/>
            </a:ln>
            <a:effectLst/>
            <a:sp3d/>
          </c:spPr>
          <c:invertIfNegative val="0"/>
          <c:dPt>
            <c:idx val="3"/>
            <c:invertIfNegative val="0"/>
            <c:bubble3D val="0"/>
            <c:spPr>
              <a:solidFill>
                <a:schemeClr val="accent1"/>
              </a:solidFill>
              <a:ln>
                <a:noFill/>
              </a:ln>
              <a:effectLst/>
              <a:sp3d/>
            </c:spPr>
            <c:extLst>
              <c:ext xmlns:c16="http://schemas.microsoft.com/office/drawing/2014/chart" uri="{C3380CC4-5D6E-409C-BE32-E72D297353CC}">
                <c16:uniqueId val="{00000001-50EB-41E0-847C-C2ACB0F4F2E2}"/>
              </c:ext>
            </c:extLst>
          </c:dPt>
          <c:dPt>
            <c:idx val="4"/>
            <c:invertIfNegative val="0"/>
            <c:bubble3D val="0"/>
            <c:spPr>
              <a:solidFill>
                <a:srgbClr val="0432FF"/>
              </a:solidFill>
              <a:ln>
                <a:noFill/>
              </a:ln>
              <a:effectLst/>
              <a:sp3d/>
            </c:spPr>
            <c:extLst>
              <c:ext xmlns:c16="http://schemas.microsoft.com/office/drawing/2014/chart" uri="{C3380CC4-5D6E-409C-BE32-E72D297353CC}">
                <c16:uniqueId val="{00000003-50EB-41E0-847C-C2ACB0F4F2E2}"/>
              </c:ext>
            </c:extLst>
          </c:dPt>
          <c:dPt>
            <c:idx val="5"/>
            <c:invertIfNegative val="0"/>
            <c:bubble3D val="0"/>
            <c:spPr>
              <a:solidFill>
                <a:schemeClr val="accent3"/>
              </a:solidFill>
              <a:ln>
                <a:noFill/>
              </a:ln>
              <a:effectLst/>
              <a:sp3d/>
            </c:spPr>
            <c:extLst>
              <c:ext xmlns:c16="http://schemas.microsoft.com/office/drawing/2014/chart" uri="{C3380CC4-5D6E-409C-BE32-E72D297353CC}">
                <c16:uniqueId val="{00000005-50EB-41E0-847C-C2ACB0F4F2E2}"/>
              </c:ext>
            </c:extLst>
          </c:dPt>
          <c:dPt>
            <c:idx val="6"/>
            <c:invertIfNegative val="0"/>
            <c:bubble3D val="0"/>
            <c:spPr>
              <a:solidFill>
                <a:schemeClr val="accent1"/>
              </a:solidFill>
              <a:ln>
                <a:noFill/>
              </a:ln>
              <a:effectLst/>
              <a:sp3d/>
            </c:spPr>
            <c:extLst>
              <c:ext xmlns:c16="http://schemas.microsoft.com/office/drawing/2014/chart" uri="{C3380CC4-5D6E-409C-BE32-E72D297353CC}">
                <c16:uniqueId val="{00000007-50EB-41E0-847C-C2ACB0F4F2E2}"/>
              </c:ext>
            </c:extLst>
          </c:dPt>
          <c:dPt>
            <c:idx val="7"/>
            <c:invertIfNegative val="0"/>
            <c:bubble3D val="0"/>
            <c:spPr>
              <a:solidFill>
                <a:srgbClr val="0432FF"/>
              </a:solidFill>
              <a:ln>
                <a:noFill/>
              </a:ln>
              <a:effectLst/>
              <a:sp3d/>
            </c:spPr>
            <c:extLst>
              <c:ext xmlns:c16="http://schemas.microsoft.com/office/drawing/2014/chart" uri="{C3380CC4-5D6E-409C-BE32-E72D297353CC}">
                <c16:uniqueId val="{00000009-50EB-41E0-847C-C2ACB0F4F2E2}"/>
              </c:ext>
            </c:extLst>
          </c:dPt>
          <c:dLbls>
            <c:dLbl>
              <c:idx val="0"/>
              <c:layout>
                <c:manualLayout>
                  <c:x val="9.6665040867239174E-3"/>
                  <c:y val="-1.4319809069212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EB-41E0-847C-C2ACB0F4F2E2}"/>
                </c:ext>
              </c:extLst>
            </c:dLbl>
            <c:dLbl>
              <c:idx val="1"/>
              <c:layout>
                <c:manualLayout>
                  <c:x val="1.2225615900927314E-2"/>
                  <c:y val="-1.4319809069212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EB-41E0-847C-C2ACB0F4F2E2}"/>
                </c:ext>
              </c:extLst>
            </c:dLbl>
            <c:dLbl>
              <c:idx val="2"/>
              <c:layout>
                <c:manualLayout>
                  <c:x val="1.4736166852080942E-2"/>
                  <c:y val="-4.2959427207637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EB-41E0-847C-C2ACB0F4F2E2}"/>
                </c:ext>
              </c:extLst>
            </c:dLbl>
            <c:dLbl>
              <c:idx val="3"/>
              <c:layout>
                <c:manualLayout>
                  <c:x val="1.15998049040687E-2"/>
                  <c:y val="-2.3866348448687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EB-41E0-847C-C2ACB0F4F2E2}"/>
                </c:ext>
              </c:extLst>
            </c:dLbl>
            <c:dLbl>
              <c:idx val="4"/>
              <c:layout>
                <c:manualLayout>
                  <c:x val="1.7399707356102908E-2"/>
                  <c:y val="-2.386634844868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EB-41E0-847C-C2ACB0F4F2E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'Insurance Calculator'!$B$72:$B$76</c:f>
              <c:strCache>
                <c:ptCount val="5"/>
                <c:pt idx="0">
                  <c:v> LI - Need Based </c:v>
                </c:pt>
                <c:pt idx="1">
                  <c:v> LI - HLV </c:v>
                </c:pt>
                <c:pt idx="2">
                  <c:v> LI - lower of 2 </c:v>
                </c:pt>
                <c:pt idx="3">
                  <c:v> Less: Existing LI Cover </c:v>
                </c:pt>
                <c:pt idx="4">
                  <c:v> Life Insurance Gap </c:v>
                </c:pt>
              </c:strCache>
            </c:strRef>
          </c:cat>
          <c:val>
            <c:numRef>
              <c:f>'Insurance Calculator'!$C$72:$C$76</c:f>
              <c:numCache>
                <c:formatCode>_ * #,##0_ ;_ * \-#,##0_ ;_ * "-"??_ ;_ @_ </c:formatCode>
                <c:ptCount val="5"/>
                <c:pt idx="0">
                  <c:v>6171668.1354822721</c:v>
                </c:pt>
                <c:pt idx="1">
                  <c:v>16752309.378481189</c:v>
                </c:pt>
                <c:pt idx="2">
                  <c:v>6171668.1354822721</c:v>
                </c:pt>
                <c:pt idx="4" formatCode="_(* #,##0_);_(* \(#,##0\);_(* &quot;-&quot;??_);_(@_)">
                  <c:v>6171668.1354822721</c:v>
                </c:pt>
              </c:numCache>
            </c:numRef>
          </c:val>
          <c:extLst>
            <c:ext xmlns:c16="http://schemas.microsoft.com/office/drawing/2014/chart" uri="{C3380CC4-5D6E-409C-BE32-E72D297353CC}">
              <c16:uniqueId val="{0000000D-50EB-41E0-847C-C2ACB0F4F2E2}"/>
            </c:ext>
          </c:extLst>
        </c:ser>
        <c:dLbls>
          <c:showLegendKey val="0"/>
          <c:showVal val="0"/>
          <c:showCatName val="0"/>
          <c:showSerName val="0"/>
          <c:showPercent val="0"/>
          <c:showBubbleSize val="0"/>
        </c:dLbls>
        <c:gapWidth val="150"/>
        <c:shape val="box"/>
        <c:axId val="395282576"/>
        <c:axId val="395283056"/>
        <c:axId val="0"/>
      </c:bar3DChart>
      <c:catAx>
        <c:axId val="395282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95283056"/>
        <c:crosses val="autoZero"/>
        <c:auto val="1"/>
        <c:lblAlgn val="ctr"/>
        <c:lblOffset val="100"/>
        <c:noMultiLvlLbl val="0"/>
      </c:catAx>
      <c:valAx>
        <c:axId val="395283056"/>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95282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IN" b="1"/>
              <a:t>PA &amp; CI Cover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FF0000"/>
            </a:solidFill>
            <a:ln>
              <a:noFill/>
            </a:ln>
            <a:effectLst/>
            <a:sp3d/>
          </c:spPr>
          <c:invertIfNegative val="0"/>
          <c:dPt>
            <c:idx val="3"/>
            <c:invertIfNegative val="0"/>
            <c:bubble3D val="0"/>
            <c:spPr>
              <a:solidFill>
                <a:schemeClr val="accent1"/>
              </a:solidFill>
              <a:ln>
                <a:noFill/>
              </a:ln>
              <a:effectLst/>
              <a:sp3d/>
            </c:spPr>
            <c:extLst>
              <c:ext xmlns:c16="http://schemas.microsoft.com/office/drawing/2014/chart" uri="{C3380CC4-5D6E-409C-BE32-E72D297353CC}">
                <c16:uniqueId val="{00000001-2462-4CBC-8039-122C1381FF70}"/>
              </c:ext>
            </c:extLst>
          </c:dPt>
          <c:dPt>
            <c:idx val="4"/>
            <c:invertIfNegative val="0"/>
            <c:bubble3D val="0"/>
            <c:spPr>
              <a:solidFill>
                <a:schemeClr val="accent1"/>
              </a:solidFill>
              <a:ln>
                <a:noFill/>
              </a:ln>
              <a:effectLst/>
              <a:sp3d/>
            </c:spPr>
            <c:extLst>
              <c:ext xmlns:c16="http://schemas.microsoft.com/office/drawing/2014/chart" uri="{C3380CC4-5D6E-409C-BE32-E72D297353CC}">
                <c16:uniqueId val="{00000003-2462-4CBC-8039-122C1381FF70}"/>
              </c:ext>
            </c:extLst>
          </c:dPt>
          <c:dPt>
            <c:idx val="5"/>
            <c:invertIfNegative val="0"/>
            <c:bubble3D val="0"/>
            <c:spPr>
              <a:solidFill>
                <a:schemeClr val="accent3"/>
              </a:solidFill>
              <a:ln>
                <a:noFill/>
              </a:ln>
              <a:effectLst/>
              <a:sp3d/>
            </c:spPr>
            <c:extLst>
              <c:ext xmlns:c16="http://schemas.microsoft.com/office/drawing/2014/chart" uri="{C3380CC4-5D6E-409C-BE32-E72D297353CC}">
                <c16:uniqueId val="{00000005-2462-4CBC-8039-122C1381FF70}"/>
              </c:ext>
            </c:extLst>
          </c:dPt>
          <c:dPt>
            <c:idx val="6"/>
            <c:invertIfNegative val="0"/>
            <c:bubble3D val="0"/>
            <c:spPr>
              <a:solidFill>
                <a:schemeClr val="accent1"/>
              </a:solidFill>
              <a:ln>
                <a:noFill/>
              </a:ln>
              <a:effectLst/>
              <a:sp3d/>
            </c:spPr>
            <c:extLst>
              <c:ext xmlns:c16="http://schemas.microsoft.com/office/drawing/2014/chart" uri="{C3380CC4-5D6E-409C-BE32-E72D297353CC}">
                <c16:uniqueId val="{00000007-2462-4CBC-8039-122C1381FF70}"/>
              </c:ext>
            </c:extLst>
          </c:dPt>
          <c:dPt>
            <c:idx val="7"/>
            <c:invertIfNegative val="0"/>
            <c:bubble3D val="0"/>
            <c:spPr>
              <a:solidFill>
                <a:srgbClr val="0432FF"/>
              </a:solidFill>
              <a:ln>
                <a:noFill/>
              </a:ln>
              <a:effectLst/>
              <a:sp3d/>
            </c:spPr>
            <c:extLst>
              <c:ext xmlns:c16="http://schemas.microsoft.com/office/drawing/2014/chart" uri="{C3380CC4-5D6E-409C-BE32-E72D297353CC}">
                <c16:uniqueId val="{00000009-2462-4CBC-8039-122C1381FF70}"/>
              </c:ext>
            </c:extLst>
          </c:dPt>
          <c:dLbls>
            <c:dLbl>
              <c:idx val="0"/>
              <c:layout>
                <c:manualLayout>
                  <c:x val="3.5445276400590791E-3"/>
                  <c:y val="-2.358490566037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62-4CBC-8039-122C1381FF70}"/>
                </c:ext>
              </c:extLst>
            </c:dLbl>
            <c:dLbl>
              <c:idx val="1"/>
              <c:layout>
                <c:manualLayout>
                  <c:x val="8.5209607177026553E-3"/>
                  <c:y val="-1.8867924528301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62-4CBC-8039-122C1381FF70}"/>
                </c:ext>
              </c:extLst>
            </c:dLbl>
            <c:dLbl>
              <c:idx val="2"/>
              <c:layout>
                <c:manualLayout>
                  <c:x val="1.4575125565589325E-2"/>
                  <c:y val="-2.358490566037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462-4CBC-8039-122C1381FF70}"/>
                </c:ext>
              </c:extLst>
            </c:dLbl>
            <c:dLbl>
              <c:idx val="3"/>
              <c:layout>
                <c:manualLayout>
                  <c:x val="1.0633582920177107E-2"/>
                  <c:y val="-1.8867924528301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62-4CBC-8039-122C1381FF70}"/>
                </c:ext>
              </c:extLst>
            </c:dLbl>
            <c:dLbl>
              <c:idx val="4"/>
              <c:layout>
                <c:manualLayout>
                  <c:x val="5.3167914600886186E-3"/>
                  <c:y val="-1.8867924528301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62-4CBC-8039-122C1381FF7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'Insurance Calculator'!$B$117:$B$121</c:f>
              <c:strCache>
                <c:ptCount val="5"/>
                <c:pt idx="0">
                  <c:v> Need Based </c:v>
                </c:pt>
                <c:pt idx="1">
                  <c:v> HLV </c:v>
                </c:pt>
                <c:pt idx="2">
                  <c:v> Lower of 2 </c:v>
                </c:pt>
                <c:pt idx="3">
                  <c:v> (Less) Existing Cover </c:v>
                </c:pt>
                <c:pt idx="4">
                  <c:v> PA + CI Insurance Gap </c:v>
                </c:pt>
              </c:strCache>
            </c:strRef>
          </c:cat>
          <c:val>
            <c:numRef>
              <c:f>'Insurance Calculator'!$C$117:$C$121</c:f>
              <c:numCache>
                <c:formatCode>_ * #,##0_ ;_ * \-#,##0_ ;_ * "-"??_ ;_ @_ </c:formatCode>
                <c:ptCount val="5"/>
                <c:pt idx="0">
                  <c:v>12727591.676177505</c:v>
                </c:pt>
                <c:pt idx="1">
                  <c:v>16752309.378481189</c:v>
                </c:pt>
                <c:pt idx="2">
                  <c:v>12727591.676177505</c:v>
                </c:pt>
                <c:pt idx="3" formatCode="General">
                  <c:v>0</c:v>
                </c:pt>
                <c:pt idx="4" formatCode="_(* #,##0_);_(* \(#,##0\);_(* &quot;-&quot;??_);_(@_)">
                  <c:v>12727591.676177505</c:v>
                </c:pt>
              </c:numCache>
            </c:numRef>
          </c:val>
          <c:extLst>
            <c:ext xmlns:c16="http://schemas.microsoft.com/office/drawing/2014/chart" uri="{C3380CC4-5D6E-409C-BE32-E72D297353CC}">
              <c16:uniqueId val="{0000000D-2462-4CBC-8039-122C1381FF70}"/>
            </c:ext>
          </c:extLst>
        </c:ser>
        <c:dLbls>
          <c:showLegendKey val="0"/>
          <c:showVal val="0"/>
          <c:showCatName val="0"/>
          <c:showSerName val="0"/>
          <c:showPercent val="0"/>
          <c:showBubbleSize val="0"/>
        </c:dLbls>
        <c:gapWidth val="150"/>
        <c:shape val="box"/>
        <c:axId val="395282576"/>
        <c:axId val="395283056"/>
        <c:axId val="0"/>
      </c:bar3DChart>
      <c:catAx>
        <c:axId val="395282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95283056"/>
        <c:crosses val="autoZero"/>
        <c:auto val="1"/>
        <c:lblAlgn val="ctr"/>
        <c:lblOffset val="100"/>
        <c:noMultiLvlLbl val="0"/>
      </c:catAx>
      <c:valAx>
        <c:axId val="395283056"/>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95282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b="1"/>
              <a:t>Life Insurance Cover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rgbClr val="FF0000"/>
              </a:solidFill>
              <a:ln>
                <a:noFill/>
              </a:ln>
              <a:effectLst/>
              <a:sp3d/>
            </c:spPr>
            <c:extLst>
              <c:ext xmlns:c16="http://schemas.microsoft.com/office/drawing/2014/chart" uri="{C3380CC4-5D6E-409C-BE32-E72D297353CC}">
                <c16:uniqueId val="{00000001-D7B9-49A1-A21D-791A3EF52397}"/>
              </c:ext>
            </c:extLst>
          </c:dPt>
          <c:dPt>
            <c:idx val="1"/>
            <c:invertIfNegative val="0"/>
            <c:bubble3D val="0"/>
            <c:spPr>
              <a:solidFill>
                <a:srgbClr val="FF0000"/>
              </a:solidFill>
              <a:ln>
                <a:noFill/>
              </a:ln>
              <a:effectLst/>
              <a:sp3d/>
            </c:spPr>
            <c:extLst>
              <c:ext xmlns:c16="http://schemas.microsoft.com/office/drawing/2014/chart" uri="{C3380CC4-5D6E-409C-BE32-E72D297353CC}">
                <c16:uniqueId val="{00000003-D7B9-49A1-A21D-791A3EF52397}"/>
              </c:ext>
            </c:extLst>
          </c:dPt>
          <c:dPt>
            <c:idx val="2"/>
            <c:invertIfNegative val="0"/>
            <c:bubble3D val="0"/>
            <c:spPr>
              <a:solidFill>
                <a:srgbClr val="FF0000"/>
              </a:solidFill>
              <a:ln>
                <a:noFill/>
              </a:ln>
              <a:effectLst/>
              <a:sp3d/>
            </c:spPr>
            <c:extLst>
              <c:ext xmlns:c16="http://schemas.microsoft.com/office/drawing/2014/chart" uri="{C3380CC4-5D6E-409C-BE32-E72D297353CC}">
                <c16:uniqueId val="{00000005-D7B9-49A1-A21D-791A3EF52397}"/>
              </c:ext>
            </c:extLst>
          </c:dPt>
          <c:dPt>
            <c:idx val="4"/>
            <c:invertIfNegative val="0"/>
            <c:bubble3D val="0"/>
            <c:spPr>
              <a:solidFill>
                <a:srgbClr val="0432FF"/>
              </a:solidFill>
              <a:ln>
                <a:noFill/>
              </a:ln>
              <a:effectLst/>
              <a:sp3d/>
            </c:spPr>
            <c:extLst>
              <c:ext xmlns:c16="http://schemas.microsoft.com/office/drawing/2014/chart" uri="{C3380CC4-5D6E-409C-BE32-E72D297353CC}">
                <c16:uniqueId val="{00000007-D7B9-49A1-A21D-791A3EF52397}"/>
              </c:ext>
            </c:extLst>
          </c:dPt>
          <c:dLbls>
            <c:dLbl>
              <c:idx val="0"/>
              <c:layout>
                <c:manualLayout>
                  <c:x val="1.5192646251335783E-2"/>
                  <c:y val="-2.356010655689692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B9-49A1-A21D-791A3EF52397}"/>
                </c:ext>
              </c:extLst>
            </c:dLbl>
            <c:dLbl>
              <c:idx val="1"/>
              <c:layout>
                <c:manualLayout>
                  <c:x val="4.8788258624534392E-3"/>
                  <c:y val="-2.3640550637880783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B9-49A1-A21D-791A3EF52397}"/>
                </c:ext>
              </c:extLst>
            </c:dLbl>
            <c:dLbl>
              <c:idx val="2"/>
              <c:layout>
                <c:manualLayout>
                  <c:x val="6.5111231687466084E-3"/>
                  <c:y val="-2.364066193853427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B9-49A1-A21D-791A3EF52397}"/>
                </c:ext>
              </c:extLst>
            </c:dLbl>
            <c:dLbl>
              <c:idx val="3"/>
              <c:layout>
                <c:manualLayout>
                  <c:x val="2.1703743895822109E-2"/>
                  <c:y val="-3.782505910165493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B9-49A1-A21D-791A3EF52397}"/>
                </c:ext>
              </c:extLst>
            </c:dLbl>
            <c:dLbl>
              <c:idx val="4"/>
              <c:layout>
                <c:manualLayout>
                  <c:x val="1.0851871947911014E-2"/>
                  <c:y val="-3.30969267139479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B9-49A1-A21D-791A3EF523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'Insurance Calculator'!$I$72:$I$76</c:f>
              <c:strCache>
                <c:ptCount val="5"/>
                <c:pt idx="0">
                  <c:v> LI - Need Based </c:v>
                </c:pt>
                <c:pt idx="1">
                  <c:v> LI - HLV </c:v>
                </c:pt>
                <c:pt idx="2">
                  <c:v> LI - lower of 2 </c:v>
                </c:pt>
                <c:pt idx="3">
                  <c:v> Less: Existing LI Cover </c:v>
                </c:pt>
                <c:pt idx="4">
                  <c:v> Life Insurance Gap </c:v>
                </c:pt>
              </c:strCache>
            </c:strRef>
          </c:cat>
          <c:val>
            <c:numRef>
              <c:f>'Insurance Calculator'!$J$72:$J$76</c:f>
              <c:numCache>
                <c:formatCode>_ * #,##0_ ;_ * \-#,##0_ ;_ * "-"??_ ;_ @_ </c:formatCode>
                <c:ptCount val="5"/>
                <c:pt idx="0">
                  <c:v>0</c:v>
                </c:pt>
                <c:pt idx="1">
                  <c:v>3350461.8756962377</c:v>
                </c:pt>
                <c:pt idx="2">
                  <c:v>0</c:v>
                </c:pt>
                <c:pt idx="3" formatCode="_(* #,##0_);_(* \(#,##0\);_(* &quot;-&quot;??_);_(@_)">
                  <c:v>0</c:v>
                </c:pt>
                <c:pt idx="4" formatCode="_(* #,##0_);_(* \(#,##0\);_(* &quot;-&quot;??_);_(@_)">
                  <c:v>0</c:v>
                </c:pt>
              </c:numCache>
            </c:numRef>
          </c:val>
          <c:extLst>
            <c:ext xmlns:c16="http://schemas.microsoft.com/office/drawing/2014/chart" uri="{C3380CC4-5D6E-409C-BE32-E72D297353CC}">
              <c16:uniqueId val="{00000009-D7B9-49A1-A21D-791A3EF52397}"/>
            </c:ext>
          </c:extLst>
        </c:ser>
        <c:dLbls>
          <c:showLegendKey val="0"/>
          <c:showVal val="0"/>
          <c:showCatName val="0"/>
          <c:showSerName val="0"/>
          <c:showPercent val="0"/>
          <c:showBubbleSize val="0"/>
        </c:dLbls>
        <c:gapWidth val="150"/>
        <c:shape val="box"/>
        <c:axId val="2009729520"/>
        <c:axId val="2009732400"/>
        <c:axId val="0"/>
      </c:bar3DChart>
      <c:catAx>
        <c:axId val="2009729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09732400"/>
        <c:crosses val="autoZero"/>
        <c:auto val="1"/>
        <c:lblAlgn val="ctr"/>
        <c:lblOffset val="100"/>
        <c:noMultiLvlLbl val="0"/>
      </c:catAx>
      <c:valAx>
        <c:axId val="200973240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900" b="1" i="0" u="none" strike="noStrike" kern="1200" baseline="0">
                <a:solidFill>
                  <a:schemeClr val="tx1">
                    <a:lumMod val="65000"/>
                    <a:lumOff val="35000"/>
                  </a:schemeClr>
                </a:solidFill>
                <a:latin typeface="+mn-lt"/>
                <a:ea typeface="+mn-ea"/>
                <a:cs typeface="+mn-cs"/>
              </a:defRPr>
            </a:pPr>
            <a:endParaRPr lang="en-US"/>
          </a:p>
        </c:txPr>
        <c:crossAx val="2009729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173115</xdr:colOff>
      <xdr:row>76</xdr:row>
      <xdr:rowOff>112943</xdr:rowOff>
    </xdr:from>
    <xdr:to>
      <xdr:col>5</xdr:col>
      <xdr:colOff>130060</xdr:colOff>
      <xdr:row>89</xdr:row>
      <xdr:rowOff>122409</xdr:rowOff>
    </xdr:to>
    <xdr:graphicFrame macro="">
      <xdr:nvGraphicFramePr>
        <xdr:cNvPr id="2" name="Chart 1">
          <a:extLst>
            <a:ext uri="{FF2B5EF4-FFF2-40B4-BE49-F238E27FC236}">
              <a16:creationId xmlns:a16="http://schemas.microsoft.com/office/drawing/2014/main" id="{D9890272-3696-4B28-B15C-FA6B30824A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121</xdr:row>
      <xdr:rowOff>57150</xdr:rowOff>
    </xdr:from>
    <xdr:to>
      <xdr:col>4</xdr:col>
      <xdr:colOff>758826</xdr:colOff>
      <xdr:row>133</xdr:row>
      <xdr:rowOff>158750</xdr:rowOff>
    </xdr:to>
    <xdr:graphicFrame macro="">
      <xdr:nvGraphicFramePr>
        <xdr:cNvPr id="3" name="Chart 2">
          <a:extLst>
            <a:ext uri="{FF2B5EF4-FFF2-40B4-BE49-F238E27FC236}">
              <a16:creationId xmlns:a16="http://schemas.microsoft.com/office/drawing/2014/main" id="{00C3265B-BE85-493E-967F-A09E21D91A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53974</xdr:colOff>
      <xdr:row>76</xdr:row>
      <xdr:rowOff>171450</xdr:rowOff>
    </xdr:from>
    <xdr:to>
      <xdr:col>11</xdr:col>
      <xdr:colOff>994578</xdr:colOff>
      <xdr:row>89</xdr:row>
      <xdr:rowOff>84157</xdr:rowOff>
    </xdr:to>
    <xdr:graphicFrame macro="">
      <xdr:nvGraphicFramePr>
        <xdr:cNvPr id="4" name="Chart 3">
          <a:extLst>
            <a:ext uri="{FF2B5EF4-FFF2-40B4-BE49-F238E27FC236}">
              <a16:creationId xmlns:a16="http://schemas.microsoft.com/office/drawing/2014/main" id="{E600047C-3DA6-4E0F-BD7C-FBEC3A065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FE95-1994-49DB-AB62-0A3CB77455B5}">
  <dimension ref="A1:E19"/>
  <sheetViews>
    <sheetView showGridLines="0" tabSelected="1" zoomScaleNormal="100" workbookViewId="0">
      <pane ySplit="2" topLeftCell="A3" activePane="bottomLeft" state="frozen"/>
      <selection pane="bottomLeft" activeCell="A5" sqref="A5"/>
    </sheetView>
  </sheetViews>
  <sheetFormatPr defaultRowHeight="14.5" x14ac:dyDescent="0.35"/>
  <cols>
    <col min="1" max="1" width="56.08984375" customWidth="1"/>
    <col min="2" max="2" width="14.453125" bestFit="1" customWidth="1"/>
    <col min="4" max="4" width="25.36328125" customWidth="1"/>
    <col min="5" max="5" width="31" customWidth="1"/>
  </cols>
  <sheetData>
    <row r="1" spans="1:5" ht="35.5" customHeight="1" thickBot="1" x14ac:dyDescent="0.4">
      <c r="A1" s="291" t="s">
        <v>387</v>
      </c>
      <c r="B1" s="291"/>
      <c r="D1" s="222" t="s">
        <v>352</v>
      </c>
      <c r="E1" s="223" t="s">
        <v>351</v>
      </c>
    </row>
    <row r="2" spans="1:5" ht="16.5" thickBot="1" x14ac:dyDescent="0.4">
      <c r="A2" s="1" t="s">
        <v>0</v>
      </c>
      <c r="B2" s="2"/>
    </row>
    <row r="3" spans="1:5" ht="16.5" thickBot="1" x14ac:dyDescent="0.4">
      <c r="A3" s="231" t="s">
        <v>1</v>
      </c>
      <c r="B3" s="4">
        <v>1000000</v>
      </c>
    </row>
    <row r="4" spans="1:5" ht="16.5" thickBot="1" x14ac:dyDescent="0.4">
      <c r="A4" s="3" t="s">
        <v>2</v>
      </c>
      <c r="B4" s="5">
        <v>0.06</v>
      </c>
    </row>
    <row r="5" spans="1:5" ht="16.5" thickBot="1" x14ac:dyDescent="0.4">
      <c r="A5" s="3" t="s">
        <v>3</v>
      </c>
      <c r="B5" s="6">
        <v>33</v>
      </c>
    </row>
    <row r="6" spans="1:5" ht="16.5" thickBot="1" x14ac:dyDescent="0.4">
      <c r="A6" s="3" t="s">
        <v>4</v>
      </c>
      <c r="B6" s="6">
        <v>60</v>
      </c>
    </row>
    <row r="7" spans="1:5" ht="16.5" thickBot="1" x14ac:dyDescent="0.4">
      <c r="A7" s="3" t="s">
        <v>5</v>
      </c>
      <c r="B7" s="6">
        <v>27</v>
      </c>
    </row>
    <row r="8" spans="1:5" ht="16.5" thickBot="1" x14ac:dyDescent="0.4">
      <c r="A8" s="3" t="s">
        <v>6</v>
      </c>
      <c r="B8" s="5">
        <v>0.1</v>
      </c>
    </row>
    <row r="9" spans="1:5" ht="16.5" thickBot="1" x14ac:dyDescent="0.4">
      <c r="A9" s="3" t="s">
        <v>7</v>
      </c>
      <c r="B9" s="232">
        <f>((1+10%)/(1+6%))-1</f>
        <v>3.7735849056603765E-2</v>
      </c>
    </row>
    <row r="11" spans="1:5" ht="16" x14ac:dyDescent="0.35">
      <c r="A11" s="289" t="s">
        <v>8</v>
      </c>
      <c r="B11" s="289"/>
    </row>
    <row r="13" spans="1:5" ht="16" x14ac:dyDescent="0.35">
      <c r="A13" s="290" t="s">
        <v>297</v>
      </c>
      <c r="B13" s="290"/>
    </row>
    <row r="14" spans="1:5" ht="16" x14ac:dyDescent="0.35">
      <c r="A14" s="181" t="s">
        <v>294</v>
      </c>
      <c r="B14" s="224">
        <f>B9</f>
        <v>3.7735849056603765E-2</v>
      </c>
    </row>
    <row r="15" spans="1:5" ht="16" x14ac:dyDescent="0.35">
      <c r="A15" s="181" t="s">
        <v>295</v>
      </c>
      <c r="B15" s="183">
        <f>B7</f>
        <v>27</v>
      </c>
    </row>
    <row r="16" spans="1:5" ht="16" x14ac:dyDescent="0.35">
      <c r="A16" s="181" t="s">
        <v>296</v>
      </c>
      <c r="B16" s="184">
        <v>1000000</v>
      </c>
    </row>
    <row r="17" spans="1:2" ht="16" x14ac:dyDescent="0.35">
      <c r="A17" s="182" t="s">
        <v>353</v>
      </c>
      <c r="B17" s="229">
        <f>PV(B14,B15,-B16)</f>
        <v>16752309.378481189</v>
      </c>
    </row>
    <row r="18" spans="1:2" ht="65" customHeight="1" x14ac:dyDescent="0.35">
      <c r="A18" s="288"/>
      <c r="B18" s="288"/>
    </row>
    <row r="19" spans="1:2" ht="31.5" customHeight="1" x14ac:dyDescent="0.35">
      <c r="A19" s="288"/>
      <c r="B19" s="288"/>
    </row>
  </sheetData>
  <mergeCells count="5">
    <mergeCell ref="A18:B18"/>
    <mergeCell ref="A19:B19"/>
    <mergeCell ref="A11:B11"/>
    <mergeCell ref="A13:B13"/>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4FF4F-6FE1-437A-94B0-D7B768FF8BAE}">
  <dimension ref="A1:I48"/>
  <sheetViews>
    <sheetView showGridLines="0" workbookViewId="0"/>
  </sheetViews>
  <sheetFormatPr defaultRowHeight="20" customHeight="1" x14ac:dyDescent="0.35"/>
  <cols>
    <col min="1" max="1" width="74.1796875" style="7" customWidth="1"/>
    <col min="2" max="2" width="7.26953125" style="7" customWidth="1"/>
    <col min="3" max="12" width="13.6328125" style="7" customWidth="1"/>
    <col min="13" max="23" width="18.6328125" style="7" customWidth="1"/>
    <col min="24" max="16384" width="8.7265625" style="7"/>
  </cols>
  <sheetData>
    <row r="1" spans="1:9" ht="35.5" customHeight="1" x14ac:dyDescent="0.35">
      <c r="A1" s="56" t="s">
        <v>385</v>
      </c>
      <c r="B1" s="56"/>
      <c r="C1" s="56"/>
      <c r="D1" s="56"/>
      <c r="E1" s="56"/>
      <c r="F1" s="56"/>
    </row>
    <row r="2" spans="1:9" ht="22" customHeight="1" x14ac:dyDescent="0.35">
      <c r="A2" s="286" t="s">
        <v>377</v>
      </c>
    </row>
    <row r="3" spans="1:9" ht="146" customHeight="1" x14ac:dyDescent="0.35">
      <c r="A3" s="324" t="s">
        <v>386</v>
      </c>
      <c r="B3" s="324"/>
      <c r="C3" s="324"/>
      <c r="D3" s="324"/>
      <c r="E3" s="324"/>
      <c r="F3" s="324"/>
    </row>
    <row r="4" spans="1:9" ht="35.5" customHeight="1" x14ac:dyDescent="0.35"/>
    <row r="5" spans="1:9" ht="20" customHeight="1" x14ac:dyDescent="0.35">
      <c r="A5" s="10" t="s">
        <v>171</v>
      </c>
      <c r="C5" s="325" t="s">
        <v>143</v>
      </c>
      <c r="D5" s="326"/>
      <c r="E5" s="326"/>
      <c r="F5" s="326" t="s">
        <v>144</v>
      </c>
      <c r="G5" s="326"/>
      <c r="H5" s="329"/>
      <c r="I5" s="227" t="s">
        <v>291</v>
      </c>
    </row>
    <row r="6" spans="1:9" ht="20" customHeight="1" x14ac:dyDescent="0.35">
      <c r="A6" s="7" t="s">
        <v>172</v>
      </c>
      <c r="C6" s="48" t="s">
        <v>60</v>
      </c>
      <c r="D6" s="48" t="s">
        <v>146</v>
      </c>
      <c r="E6" s="49" t="s">
        <v>58</v>
      </c>
      <c r="F6" s="48" t="s">
        <v>60</v>
      </c>
      <c r="G6" s="48" t="s">
        <v>146</v>
      </c>
      <c r="H6" s="49" t="s">
        <v>147</v>
      </c>
      <c r="I6" s="49"/>
    </row>
    <row r="7" spans="1:9" ht="20" customHeight="1" x14ac:dyDescent="0.35">
      <c r="A7" s="7" t="s">
        <v>173</v>
      </c>
      <c r="C7" s="50">
        <v>1</v>
      </c>
      <c r="D7" s="51">
        <v>45292</v>
      </c>
      <c r="E7" s="52">
        <v>-1200000</v>
      </c>
      <c r="F7" s="50"/>
      <c r="G7" s="51"/>
      <c r="H7" s="53"/>
      <c r="I7" s="53"/>
    </row>
    <row r="8" spans="1:9" ht="20" customHeight="1" x14ac:dyDescent="0.35">
      <c r="A8" s="7" t="s">
        <v>174</v>
      </c>
      <c r="C8" s="50">
        <v>2</v>
      </c>
      <c r="D8" s="51">
        <v>45658</v>
      </c>
      <c r="E8" s="52">
        <f>E7</f>
        <v>-1200000</v>
      </c>
      <c r="F8" s="50">
        <v>1</v>
      </c>
      <c r="G8" s="51">
        <f>D8</f>
        <v>45658</v>
      </c>
      <c r="H8" s="52">
        <f>E8</f>
        <v>-1200000</v>
      </c>
      <c r="I8" s="52">
        <v>-1200000</v>
      </c>
    </row>
    <row r="9" spans="1:9" ht="20" customHeight="1" x14ac:dyDescent="0.35">
      <c r="A9" s="7" t="s">
        <v>175</v>
      </c>
      <c r="C9" s="50">
        <v>3</v>
      </c>
      <c r="D9" s="51">
        <v>46023</v>
      </c>
      <c r="E9" s="52">
        <f t="shared" ref="E9:E21" si="0">E8</f>
        <v>-1200000</v>
      </c>
      <c r="F9" s="50">
        <v>2</v>
      </c>
      <c r="G9" s="51">
        <f t="shared" ref="G9:H22" si="1">D9</f>
        <v>46023</v>
      </c>
      <c r="H9" s="52">
        <f t="shared" si="1"/>
        <v>-1200000</v>
      </c>
      <c r="I9" s="52">
        <v>-1200000</v>
      </c>
    </row>
    <row r="10" spans="1:9" ht="20" customHeight="1" x14ac:dyDescent="0.35">
      <c r="A10" s="7" t="s">
        <v>176</v>
      </c>
      <c r="C10" s="50">
        <v>4</v>
      </c>
      <c r="D10" s="51">
        <v>46388</v>
      </c>
      <c r="E10" s="52">
        <f t="shared" si="0"/>
        <v>-1200000</v>
      </c>
      <c r="F10" s="50">
        <v>3</v>
      </c>
      <c r="G10" s="51">
        <f t="shared" si="1"/>
        <v>46388</v>
      </c>
      <c r="H10" s="52">
        <f t="shared" si="1"/>
        <v>-1200000</v>
      </c>
      <c r="I10" s="52">
        <v>0</v>
      </c>
    </row>
    <row r="11" spans="1:9" ht="20" customHeight="1" x14ac:dyDescent="0.35">
      <c r="A11" s="7" t="s">
        <v>177</v>
      </c>
      <c r="C11" s="50">
        <v>5</v>
      </c>
      <c r="D11" s="51">
        <v>46753</v>
      </c>
      <c r="E11" s="52">
        <f t="shared" si="0"/>
        <v>-1200000</v>
      </c>
      <c r="F11" s="50">
        <v>4</v>
      </c>
      <c r="G11" s="51">
        <f t="shared" si="1"/>
        <v>46753</v>
      </c>
      <c r="H11" s="52">
        <f t="shared" si="1"/>
        <v>-1200000</v>
      </c>
      <c r="I11" s="52">
        <v>0</v>
      </c>
    </row>
    <row r="12" spans="1:9" ht="20" customHeight="1" x14ac:dyDescent="0.35">
      <c r="A12" s="7" t="s">
        <v>61</v>
      </c>
      <c r="C12" s="50">
        <v>6</v>
      </c>
      <c r="D12" s="51">
        <v>47119</v>
      </c>
      <c r="E12" s="52">
        <f t="shared" si="0"/>
        <v>-1200000</v>
      </c>
      <c r="F12" s="50">
        <v>5</v>
      </c>
      <c r="G12" s="51">
        <f t="shared" si="1"/>
        <v>47119</v>
      </c>
      <c r="H12" s="52">
        <f t="shared" si="1"/>
        <v>-1200000</v>
      </c>
      <c r="I12" s="52">
        <v>0</v>
      </c>
    </row>
    <row r="13" spans="1:9" ht="20" customHeight="1" x14ac:dyDescent="0.35">
      <c r="A13" s="7" t="s">
        <v>178</v>
      </c>
      <c r="C13" s="50">
        <v>7</v>
      </c>
      <c r="D13" s="51">
        <v>47484</v>
      </c>
      <c r="E13" s="52">
        <f t="shared" si="0"/>
        <v>-1200000</v>
      </c>
      <c r="F13" s="50">
        <v>6</v>
      </c>
      <c r="G13" s="51">
        <f t="shared" si="1"/>
        <v>47484</v>
      </c>
      <c r="H13" s="52">
        <f t="shared" si="1"/>
        <v>-1200000</v>
      </c>
      <c r="I13" s="52">
        <v>0</v>
      </c>
    </row>
    <row r="14" spans="1:9" ht="20" customHeight="1" x14ac:dyDescent="0.35">
      <c r="A14" s="7" t="s">
        <v>179</v>
      </c>
      <c r="C14" s="50">
        <v>8</v>
      </c>
      <c r="D14" s="51">
        <v>47849</v>
      </c>
      <c r="E14" s="52">
        <f t="shared" si="0"/>
        <v>-1200000</v>
      </c>
      <c r="F14" s="50">
        <v>7</v>
      </c>
      <c r="G14" s="51">
        <f t="shared" si="1"/>
        <v>47849</v>
      </c>
      <c r="H14" s="52">
        <f t="shared" si="1"/>
        <v>-1200000</v>
      </c>
      <c r="I14" s="52">
        <v>0</v>
      </c>
    </row>
    <row r="15" spans="1:9" ht="20" customHeight="1" x14ac:dyDescent="0.35">
      <c r="A15" s="7" t="s">
        <v>369</v>
      </c>
      <c r="C15" s="50">
        <v>9</v>
      </c>
      <c r="D15" s="51">
        <v>48214</v>
      </c>
      <c r="E15" s="52">
        <f t="shared" si="0"/>
        <v>-1200000</v>
      </c>
      <c r="F15" s="50">
        <v>8</v>
      </c>
      <c r="G15" s="51">
        <f t="shared" si="1"/>
        <v>48214</v>
      </c>
      <c r="H15" s="52">
        <f t="shared" si="1"/>
        <v>-1200000</v>
      </c>
      <c r="I15" s="52">
        <v>0</v>
      </c>
    </row>
    <row r="16" spans="1:9" ht="20" customHeight="1" x14ac:dyDescent="0.35">
      <c r="A16" s="7" t="s">
        <v>370</v>
      </c>
      <c r="C16" s="50">
        <v>10</v>
      </c>
      <c r="D16" s="51">
        <v>48580</v>
      </c>
      <c r="E16" s="52">
        <f t="shared" si="0"/>
        <v>-1200000</v>
      </c>
      <c r="F16" s="50">
        <v>9</v>
      </c>
      <c r="G16" s="51">
        <f t="shared" si="1"/>
        <v>48580</v>
      </c>
      <c r="H16" s="52">
        <f t="shared" si="1"/>
        <v>-1200000</v>
      </c>
      <c r="I16" s="52">
        <v>0</v>
      </c>
    </row>
    <row r="17" spans="1:9" ht="20" customHeight="1" x14ac:dyDescent="0.35">
      <c r="A17" s="7" t="s">
        <v>371</v>
      </c>
      <c r="C17" s="50">
        <v>11</v>
      </c>
      <c r="D17" s="51">
        <v>48945</v>
      </c>
      <c r="E17" s="52">
        <f t="shared" si="0"/>
        <v>-1200000</v>
      </c>
      <c r="F17" s="50">
        <v>10</v>
      </c>
      <c r="G17" s="51">
        <f t="shared" si="1"/>
        <v>48945</v>
      </c>
      <c r="H17" s="52">
        <f t="shared" si="1"/>
        <v>-1200000</v>
      </c>
      <c r="I17" s="52">
        <v>0</v>
      </c>
    </row>
    <row r="18" spans="1:9" ht="20" customHeight="1" x14ac:dyDescent="0.35">
      <c r="A18" s="7" t="s">
        <v>180</v>
      </c>
      <c r="C18" s="50">
        <v>12</v>
      </c>
      <c r="D18" s="51">
        <v>49310</v>
      </c>
      <c r="E18" s="52">
        <f t="shared" si="0"/>
        <v>-1200000</v>
      </c>
      <c r="F18" s="50">
        <v>11</v>
      </c>
      <c r="G18" s="51">
        <f t="shared" si="1"/>
        <v>49310</v>
      </c>
      <c r="H18" s="52">
        <f t="shared" si="1"/>
        <v>-1200000</v>
      </c>
      <c r="I18" s="52">
        <v>0</v>
      </c>
    </row>
    <row r="19" spans="1:9" ht="20" customHeight="1" x14ac:dyDescent="0.35">
      <c r="C19" s="50">
        <v>13</v>
      </c>
      <c r="D19" s="51">
        <v>49675</v>
      </c>
      <c r="E19" s="52">
        <f t="shared" si="0"/>
        <v>-1200000</v>
      </c>
      <c r="F19" s="50">
        <v>12</v>
      </c>
      <c r="G19" s="51">
        <f t="shared" si="1"/>
        <v>49675</v>
      </c>
      <c r="H19" s="52">
        <f t="shared" si="1"/>
        <v>-1200000</v>
      </c>
      <c r="I19" s="52">
        <v>0</v>
      </c>
    </row>
    <row r="20" spans="1:9" ht="20" customHeight="1" x14ac:dyDescent="0.35">
      <c r="C20" s="50">
        <v>14</v>
      </c>
      <c r="D20" s="51">
        <v>50041</v>
      </c>
      <c r="E20" s="52">
        <f t="shared" si="0"/>
        <v>-1200000</v>
      </c>
      <c r="F20" s="50">
        <v>13</v>
      </c>
      <c r="G20" s="51">
        <f t="shared" si="1"/>
        <v>50041</v>
      </c>
      <c r="H20" s="52">
        <f t="shared" si="1"/>
        <v>-1200000</v>
      </c>
      <c r="I20" s="52">
        <v>0</v>
      </c>
    </row>
    <row r="21" spans="1:9" ht="20" customHeight="1" x14ac:dyDescent="0.35">
      <c r="C21" s="50">
        <v>15</v>
      </c>
      <c r="D21" s="51">
        <v>50406</v>
      </c>
      <c r="E21" s="52">
        <f t="shared" si="0"/>
        <v>-1200000</v>
      </c>
      <c r="F21" s="50">
        <v>14</v>
      </c>
      <c r="G21" s="51">
        <f t="shared" si="1"/>
        <v>50406</v>
      </c>
      <c r="H21" s="52">
        <f t="shared" si="1"/>
        <v>-1200000</v>
      </c>
      <c r="I21" s="52">
        <v>0</v>
      </c>
    </row>
    <row r="22" spans="1:9" ht="20" customHeight="1" x14ac:dyDescent="0.35">
      <c r="C22" s="50">
        <v>16</v>
      </c>
      <c r="D22" s="51">
        <v>50771</v>
      </c>
      <c r="E22" s="52">
        <v>27000000</v>
      </c>
      <c r="F22" s="50">
        <v>15</v>
      </c>
      <c r="G22" s="51">
        <f t="shared" si="1"/>
        <v>50771</v>
      </c>
      <c r="H22" s="52">
        <f t="shared" si="1"/>
        <v>27000000</v>
      </c>
      <c r="I22" s="52">
        <f>E34</f>
        <v>4200000</v>
      </c>
    </row>
    <row r="23" spans="1:9" ht="20" customHeight="1" x14ac:dyDescent="0.35">
      <c r="C23" s="54"/>
      <c r="D23" s="55" t="s">
        <v>161</v>
      </c>
      <c r="E23" s="42">
        <f>IRR(E7:E22)</f>
        <v>4.917698903501555E-2</v>
      </c>
      <c r="F23" s="54"/>
      <c r="G23" s="55" t="s">
        <v>162</v>
      </c>
      <c r="H23" s="42">
        <f>IRR(H8:H22)</f>
        <v>6.125666069760638E-2</v>
      </c>
      <c r="I23" s="42">
        <f>IRR(I8:I22)</f>
        <v>4.2307623647953152E-2</v>
      </c>
    </row>
    <row r="25" spans="1:9" ht="20" customHeight="1" x14ac:dyDescent="0.35">
      <c r="A25" s="39" t="s">
        <v>181</v>
      </c>
    </row>
    <row r="26" spans="1:9" ht="20" customHeight="1" x14ac:dyDescent="0.35">
      <c r="A26" s="20" t="s">
        <v>182</v>
      </c>
    </row>
    <row r="27" spans="1:9" ht="20" customHeight="1" x14ac:dyDescent="0.35">
      <c r="A27" s="7" t="s">
        <v>183</v>
      </c>
    </row>
    <row r="28" spans="1:9" ht="20" customHeight="1" x14ac:dyDescent="0.35">
      <c r="A28" s="7" t="s">
        <v>372</v>
      </c>
    </row>
    <row r="29" spans="1:9" ht="20" customHeight="1" x14ac:dyDescent="0.35">
      <c r="A29" s="7" t="s">
        <v>184</v>
      </c>
    </row>
    <row r="31" spans="1:9" ht="20" customHeight="1" x14ac:dyDescent="0.35">
      <c r="A31" s="276" t="s">
        <v>366</v>
      </c>
      <c r="B31" s="277"/>
      <c r="C31" s="277"/>
      <c r="D31" s="277"/>
      <c r="E31" s="278"/>
    </row>
    <row r="32" spans="1:9" ht="29" x14ac:dyDescent="0.35">
      <c r="A32" s="279" t="s">
        <v>373</v>
      </c>
      <c r="B32" s="43"/>
      <c r="C32" s="43"/>
      <c r="D32" s="43"/>
      <c r="E32" s="46">
        <f>3/15*12000000</f>
        <v>2400000</v>
      </c>
    </row>
    <row r="33" spans="1:5" ht="20" customHeight="1" x14ac:dyDescent="0.35">
      <c r="A33" s="45" t="s">
        <v>163</v>
      </c>
      <c r="B33" s="43"/>
      <c r="C33" s="43"/>
      <c r="D33" s="43"/>
      <c r="E33" s="46">
        <f>3*50/1000*12000000</f>
        <v>1800000</v>
      </c>
    </row>
    <row r="34" spans="1:5" ht="20" customHeight="1" x14ac:dyDescent="0.35">
      <c r="A34" s="280"/>
      <c r="B34" s="281"/>
      <c r="C34" s="281"/>
      <c r="D34" s="281"/>
      <c r="E34" s="282">
        <f>SUM(E32:E33)</f>
        <v>4200000</v>
      </c>
    </row>
    <row r="35" spans="1:5" ht="20" customHeight="1" x14ac:dyDescent="0.35">
      <c r="A35" s="47"/>
    </row>
    <row r="36" spans="1:5" ht="20" customHeight="1" x14ac:dyDescent="0.35">
      <c r="A36" s="283" t="s">
        <v>374</v>
      </c>
      <c r="B36" s="277"/>
      <c r="C36" s="277"/>
      <c r="D36" s="277"/>
      <c r="E36" s="284"/>
    </row>
    <row r="37" spans="1:5" ht="20" customHeight="1" x14ac:dyDescent="0.35">
      <c r="A37" s="25" t="s">
        <v>165</v>
      </c>
      <c r="B37" s="43"/>
      <c r="C37" s="43"/>
      <c r="D37" s="43"/>
      <c r="E37" s="46">
        <f>1200000*2*80%</f>
        <v>1920000</v>
      </c>
    </row>
    <row r="38" spans="1:5" ht="20" customHeight="1" x14ac:dyDescent="0.35">
      <c r="A38" s="25" t="s">
        <v>166</v>
      </c>
      <c r="B38" s="43"/>
      <c r="C38" s="43"/>
      <c r="D38" s="43"/>
      <c r="E38" s="46">
        <f>3*50/1000*12000000*25%</f>
        <v>450000</v>
      </c>
    </row>
    <row r="39" spans="1:5" ht="20" customHeight="1" x14ac:dyDescent="0.35">
      <c r="A39" s="285"/>
      <c r="B39" s="281"/>
      <c r="C39" s="281"/>
      <c r="D39" s="281"/>
      <c r="E39" s="282">
        <f>SUM(E37:E38)</f>
        <v>2370000</v>
      </c>
    </row>
    <row r="41" spans="1:5" ht="20" customHeight="1" x14ac:dyDescent="0.35">
      <c r="A41" s="283" t="s">
        <v>167</v>
      </c>
      <c r="B41" s="277"/>
      <c r="C41" s="277"/>
      <c r="D41" s="277"/>
      <c r="E41" s="284"/>
    </row>
    <row r="42" spans="1:5" ht="20" customHeight="1" x14ac:dyDescent="0.35">
      <c r="A42" s="25" t="s">
        <v>168</v>
      </c>
      <c r="B42" s="43"/>
      <c r="C42" s="43"/>
      <c r="D42" s="43"/>
      <c r="E42" s="46">
        <v>12000000</v>
      </c>
    </row>
    <row r="43" spans="1:5" ht="20" customHeight="1" x14ac:dyDescent="0.35">
      <c r="A43" s="25" t="s">
        <v>169</v>
      </c>
      <c r="B43" s="43"/>
      <c r="C43" s="43"/>
      <c r="D43" s="43"/>
      <c r="E43" s="46">
        <f>15*75/1000*12000000</f>
        <v>13500000</v>
      </c>
    </row>
    <row r="44" spans="1:5" ht="20" customHeight="1" x14ac:dyDescent="0.35">
      <c r="A44" s="25" t="s">
        <v>185</v>
      </c>
      <c r="B44" s="43"/>
      <c r="C44" s="43"/>
      <c r="D44" s="43"/>
      <c r="E44" s="46">
        <f>125/1000*12000000</f>
        <v>1500000</v>
      </c>
    </row>
    <row r="45" spans="1:5" ht="20" customHeight="1" x14ac:dyDescent="0.35">
      <c r="A45" s="285"/>
      <c r="B45" s="281"/>
      <c r="C45" s="281"/>
      <c r="D45" s="281"/>
      <c r="E45" s="282">
        <f>SUM(E41:E44)</f>
        <v>27000000</v>
      </c>
    </row>
    <row r="47" spans="1:5" ht="20" customHeight="1" x14ac:dyDescent="0.35">
      <c r="A47" s="236" t="s">
        <v>287</v>
      </c>
    </row>
    <row r="48" spans="1:5" ht="29" x14ac:dyDescent="0.35">
      <c r="A48" s="178" t="s">
        <v>375</v>
      </c>
    </row>
  </sheetData>
  <mergeCells count="3">
    <mergeCell ref="A3:F3"/>
    <mergeCell ref="C5:E5"/>
    <mergeCell ref="F5:H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212C5-82C5-48B1-ADB3-BF893B9277A5}">
  <sheetPr>
    <tabColor rgb="FF00B050"/>
  </sheetPr>
  <dimension ref="A1:S187"/>
  <sheetViews>
    <sheetView showGridLines="0" zoomScaleNormal="100" workbookViewId="0">
      <pane xSplit="1" ySplit="1" topLeftCell="B2" activePane="bottomRight" state="frozen"/>
      <selection pane="topRight" activeCell="B1" sqref="B1"/>
      <selection pane="bottomLeft" activeCell="A2" sqref="A2"/>
      <selection pane="bottomRight" activeCell="D113" sqref="D113"/>
    </sheetView>
  </sheetViews>
  <sheetFormatPr defaultColWidth="9.1796875" defaultRowHeight="17.149999999999999" customHeight="1" x14ac:dyDescent="0.35"/>
  <cols>
    <col min="1" max="1" width="2.54296875" style="58" customWidth="1"/>
    <col min="2" max="2" width="60.1796875" style="62" customWidth="1"/>
    <col min="3" max="3" width="15.453125" style="58" customWidth="1"/>
    <col min="4" max="4" width="16.81640625" style="61" customWidth="1"/>
    <col min="5" max="5" width="14.453125" style="58" customWidth="1"/>
    <col min="6" max="6" width="2.54296875" style="58" customWidth="1"/>
    <col min="7" max="8" width="2.54296875" style="61" customWidth="1"/>
    <col min="9" max="9" width="58.54296875" style="61" customWidth="1"/>
    <col min="10" max="15" width="15.54296875" style="61" customWidth="1"/>
    <col min="16" max="16" width="32" style="61" customWidth="1"/>
    <col min="17" max="19" width="15.54296875" style="61" customWidth="1"/>
    <col min="20" max="16384" width="9.1796875" style="61"/>
  </cols>
  <sheetData>
    <row r="1" spans="1:11" ht="17.149999999999999" customHeight="1" x14ac:dyDescent="0.35">
      <c r="B1" s="59" t="s">
        <v>186</v>
      </c>
      <c r="C1" s="59"/>
      <c r="D1" s="59"/>
      <c r="E1" s="59"/>
      <c r="G1" s="60"/>
      <c r="I1" s="59" t="s">
        <v>187</v>
      </c>
      <c r="J1" s="59"/>
      <c r="K1" s="59"/>
    </row>
    <row r="2" spans="1:11" ht="17.149999999999999" customHeight="1" x14ac:dyDescent="0.35">
      <c r="G2" s="60"/>
    </row>
    <row r="3" spans="1:11" ht="17.149999999999999" customHeight="1" x14ac:dyDescent="0.35">
      <c r="B3" s="63" t="s">
        <v>188</v>
      </c>
      <c r="C3" s="64"/>
      <c r="D3" s="65">
        <v>33</v>
      </c>
      <c r="G3" s="60"/>
      <c r="I3" s="63" t="s">
        <v>188</v>
      </c>
      <c r="J3" s="66"/>
      <c r="K3" s="65">
        <v>33</v>
      </c>
    </row>
    <row r="4" spans="1:11" ht="17.149999999999999" customHeight="1" x14ac:dyDescent="0.35">
      <c r="B4" s="63" t="s">
        <v>4</v>
      </c>
      <c r="C4" s="64"/>
      <c r="D4" s="67">
        <v>60</v>
      </c>
      <c r="G4" s="60"/>
      <c r="I4" s="63" t="s">
        <v>4</v>
      </c>
      <c r="J4" s="66"/>
      <c r="K4" s="67">
        <v>60</v>
      </c>
    </row>
    <row r="5" spans="1:11" ht="17.149999999999999" customHeight="1" x14ac:dyDescent="0.35">
      <c r="B5" s="63" t="s">
        <v>189</v>
      </c>
      <c r="C5" s="64"/>
      <c r="D5" s="64">
        <v>80</v>
      </c>
      <c r="G5" s="60"/>
      <c r="I5" s="63" t="s">
        <v>189</v>
      </c>
      <c r="J5" s="66"/>
      <c r="K5" s="64">
        <v>80</v>
      </c>
    </row>
    <row r="6" spans="1:11" ht="17.149999999999999" customHeight="1" x14ac:dyDescent="0.35">
      <c r="B6" s="63" t="s">
        <v>190</v>
      </c>
      <c r="C6" s="64"/>
      <c r="D6" s="68">
        <v>1000000</v>
      </c>
      <c r="G6" s="60"/>
      <c r="I6" s="63" t="s">
        <v>190</v>
      </c>
      <c r="J6" s="64"/>
      <c r="K6" s="68">
        <v>200000</v>
      </c>
    </row>
    <row r="7" spans="1:11" ht="17.149999999999999" customHeight="1" x14ac:dyDescent="0.35">
      <c r="G7" s="60"/>
    </row>
    <row r="8" spans="1:11" ht="17.149999999999999" customHeight="1" x14ac:dyDescent="0.35">
      <c r="A8" s="69">
        <v>1</v>
      </c>
      <c r="B8" s="70" t="s">
        <v>191</v>
      </c>
      <c r="C8" s="71"/>
      <c r="D8" s="72"/>
      <c r="E8" s="72"/>
      <c r="F8" s="61"/>
      <c r="G8" s="60"/>
      <c r="H8" s="69">
        <v>1</v>
      </c>
      <c r="I8" s="70" t="s">
        <v>191</v>
      </c>
      <c r="J8" s="71"/>
      <c r="K8" s="72"/>
    </row>
    <row r="9" spans="1:11" ht="17.149999999999999" customHeight="1" x14ac:dyDescent="0.35">
      <c r="G9" s="60"/>
    </row>
    <row r="10" spans="1:11" ht="17.149999999999999" customHeight="1" x14ac:dyDescent="0.35">
      <c r="B10" s="73" t="s">
        <v>192</v>
      </c>
      <c r="G10" s="60"/>
    </row>
    <row r="11" spans="1:11" ht="17.149999999999999" customHeight="1" x14ac:dyDescent="0.35">
      <c r="G11" s="60"/>
    </row>
    <row r="12" spans="1:11" ht="29" x14ac:dyDescent="0.35">
      <c r="A12" s="74"/>
      <c r="B12" s="75" t="s">
        <v>193</v>
      </c>
      <c r="C12" s="76" t="s">
        <v>194</v>
      </c>
      <c r="D12" s="76" t="s">
        <v>195</v>
      </c>
      <c r="E12" s="76" t="s">
        <v>196</v>
      </c>
      <c r="F12" s="74"/>
      <c r="G12" s="60"/>
    </row>
    <row r="13" spans="1:11" ht="17.149999999999999" customHeight="1" x14ac:dyDescent="0.35">
      <c r="B13" s="77" t="s">
        <v>197</v>
      </c>
      <c r="C13" s="78">
        <f>500000/12</f>
        <v>41666.666666666664</v>
      </c>
      <c r="D13" s="79">
        <v>0.8</v>
      </c>
      <c r="E13" s="80">
        <f>C13*D13</f>
        <v>33333.333333333336</v>
      </c>
      <c r="F13" s="81"/>
      <c r="G13" s="60"/>
    </row>
    <row r="14" spans="1:11" ht="17.149999999999999" customHeight="1" x14ac:dyDescent="0.35">
      <c r="B14" s="77" t="s">
        <v>198</v>
      </c>
      <c r="C14" s="78"/>
      <c r="D14" s="79">
        <f>D13</f>
        <v>0.8</v>
      </c>
      <c r="E14" s="80">
        <f t="shared" ref="E14:E17" si="0">C14*D14</f>
        <v>0</v>
      </c>
      <c r="F14" s="81"/>
      <c r="G14" s="60"/>
    </row>
    <row r="15" spans="1:11" ht="17.149999999999999" customHeight="1" x14ac:dyDescent="0.35">
      <c r="B15" s="77" t="s">
        <v>199</v>
      </c>
      <c r="C15" s="78"/>
      <c r="D15" s="79">
        <f>D14</f>
        <v>0.8</v>
      </c>
      <c r="E15" s="80">
        <f t="shared" si="0"/>
        <v>0</v>
      </c>
      <c r="F15" s="81"/>
      <c r="G15" s="60"/>
    </row>
    <row r="16" spans="1:11" ht="17.149999999999999" customHeight="1" x14ac:dyDescent="0.35">
      <c r="B16" s="77" t="s">
        <v>200</v>
      </c>
      <c r="C16" s="78"/>
      <c r="D16" s="79">
        <f>D13</f>
        <v>0.8</v>
      </c>
      <c r="E16" s="80">
        <f t="shared" si="0"/>
        <v>0</v>
      </c>
      <c r="F16" s="81"/>
      <c r="G16" s="60"/>
    </row>
    <row r="17" spans="1:11" ht="17.149999999999999" hidden="1" customHeight="1" x14ac:dyDescent="0.35">
      <c r="B17" s="77" t="s">
        <v>201</v>
      </c>
      <c r="C17" s="82">
        <v>0</v>
      </c>
      <c r="D17" s="79">
        <v>0.8</v>
      </c>
      <c r="E17" s="80">
        <f t="shared" si="0"/>
        <v>0</v>
      </c>
      <c r="F17" s="81"/>
      <c r="G17" s="60"/>
    </row>
    <row r="18" spans="1:11" ht="17.149999999999999" customHeight="1" x14ac:dyDescent="0.35">
      <c r="B18" s="83" t="s">
        <v>202</v>
      </c>
      <c r="C18" s="84">
        <f>SUM(C13:C17)</f>
        <v>41666.666666666664</v>
      </c>
      <c r="D18" s="85"/>
      <c r="E18" s="84">
        <f>SUM(E13:E17)</f>
        <v>33333.333333333336</v>
      </c>
      <c r="F18" s="86"/>
      <c r="G18" s="60"/>
    </row>
    <row r="19" spans="1:11" ht="17.149999999999999" customHeight="1" x14ac:dyDescent="0.35">
      <c r="B19" s="87"/>
      <c r="C19" s="88"/>
      <c r="E19" s="89"/>
      <c r="F19" s="89"/>
      <c r="G19" s="60"/>
    </row>
    <row r="20" spans="1:11" ht="17.149999999999999" customHeight="1" x14ac:dyDescent="0.35">
      <c r="A20" s="88"/>
      <c r="B20" s="75" t="s">
        <v>203</v>
      </c>
      <c r="C20" s="76"/>
      <c r="D20" s="76"/>
      <c r="E20" s="61"/>
      <c r="F20" s="61"/>
      <c r="G20" s="60"/>
      <c r="I20" s="75" t="s">
        <v>204</v>
      </c>
      <c r="J20" s="76"/>
      <c r="K20" s="76"/>
    </row>
    <row r="21" spans="1:11" ht="17.149999999999999" customHeight="1" x14ac:dyDescent="0.35">
      <c r="A21" s="88"/>
      <c r="B21" s="90" t="s">
        <v>205</v>
      </c>
      <c r="C21" s="64"/>
      <c r="D21" s="79">
        <v>0.1</v>
      </c>
      <c r="E21" s="61"/>
      <c r="F21" s="61"/>
      <c r="G21" s="91"/>
      <c r="H21" s="92"/>
      <c r="I21" s="90" t="s">
        <v>205</v>
      </c>
      <c r="J21" s="64"/>
      <c r="K21" s="79">
        <f>D21</f>
        <v>0.1</v>
      </c>
    </row>
    <row r="22" spans="1:11" ht="17.149999999999999" customHeight="1" x14ac:dyDescent="0.35">
      <c r="A22" s="88"/>
      <c r="B22" s="90" t="s">
        <v>206</v>
      </c>
      <c r="C22" s="64"/>
      <c r="D22" s="93">
        <v>0.06</v>
      </c>
      <c r="E22" s="61"/>
      <c r="F22" s="61"/>
      <c r="G22" s="94"/>
      <c r="H22" s="95"/>
      <c r="I22" s="90" t="s">
        <v>206</v>
      </c>
      <c r="J22" s="64"/>
      <c r="K22" s="93">
        <f t="shared" ref="K22:K23" si="1">D22</f>
        <v>0.06</v>
      </c>
    </row>
    <row r="23" spans="1:11" ht="17.149999999999999" customHeight="1" x14ac:dyDescent="0.35">
      <c r="A23" s="88"/>
      <c r="B23" s="90" t="s">
        <v>207</v>
      </c>
      <c r="C23" s="64"/>
      <c r="D23" s="96">
        <f>E18*12</f>
        <v>400000</v>
      </c>
      <c r="E23" s="61"/>
      <c r="F23" s="61"/>
      <c r="G23" s="94"/>
      <c r="H23" s="95"/>
      <c r="I23" s="90" t="s">
        <v>207</v>
      </c>
      <c r="J23" s="64"/>
      <c r="K23" s="96">
        <f t="shared" si="1"/>
        <v>400000</v>
      </c>
    </row>
    <row r="24" spans="1:11" ht="17.149999999999999" customHeight="1" x14ac:dyDescent="0.35">
      <c r="A24" s="88"/>
      <c r="B24" s="90" t="s">
        <v>208</v>
      </c>
      <c r="C24" s="64"/>
      <c r="D24" s="97">
        <f>K3</f>
        <v>33</v>
      </c>
      <c r="E24" s="61"/>
      <c r="F24" s="61"/>
      <c r="G24" s="60"/>
      <c r="I24" s="90" t="s">
        <v>208</v>
      </c>
      <c r="J24" s="64"/>
      <c r="K24" s="97">
        <f>D3</f>
        <v>33</v>
      </c>
    </row>
    <row r="25" spans="1:11" ht="17.149999999999999" customHeight="1" x14ac:dyDescent="0.35">
      <c r="A25" s="88"/>
      <c r="B25" s="90" t="s">
        <v>209</v>
      </c>
      <c r="C25" s="64"/>
      <c r="D25" s="97">
        <f>K5</f>
        <v>80</v>
      </c>
      <c r="E25" s="61"/>
      <c r="F25" s="61"/>
      <c r="G25" s="98"/>
      <c r="H25" s="99"/>
      <c r="I25" s="90" t="s">
        <v>209</v>
      </c>
      <c r="J25" s="64"/>
      <c r="K25" s="97">
        <f>D5</f>
        <v>80</v>
      </c>
    </row>
    <row r="26" spans="1:11" ht="17.149999999999999" customHeight="1" x14ac:dyDescent="0.35">
      <c r="A26" s="88"/>
      <c r="B26" s="90" t="s">
        <v>210</v>
      </c>
      <c r="C26" s="64"/>
      <c r="D26" s="97">
        <f>D25-D24</f>
        <v>47</v>
      </c>
      <c r="E26" s="61"/>
      <c r="F26" s="61"/>
      <c r="G26" s="60"/>
      <c r="I26" s="90" t="s">
        <v>211</v>
      </c>
      <c r="J26" s="64"/>
      <c r="K26" s="97">
        <f>K25-K24</f>
        <v>47</v>
      </c>
    </row>
    <row r="27" spans="1:11" ht="17.149999999999999" customHeight="1" x14ac:dyDescent="0.35">
      <c r="A27" s="88"/>
      <c r="B27" s="90" t="s">
        <v>212</v>
      </c>
      <c r="C27" s="64"/>
      <c r="D27" s="100">
        <f>(1+D21)/(1+D22)-1</f>
        <v>3.7735849056603765E-2</v>
      </c>
      <c r="E27" s="61"/>
      <c r="F27" s="61"/>
      <c r="G27" s="60"/>
      <c r="I27" s="90" t="s">
        <v>212</v>
      </c>
      <c r="J27" s="64"/>
      <c r="K27" s="100">
        <f>(1+K21)/(1+K22)-1</f>
        <v>3.7735849056603765E-2</v>
      </c>
    </row>
    <row r="28" spans="1:11" ht="17.149999999999999" customHeight="1" x14ac:dyDescent="0.35">
      <c r="A28" s="88"/>
      <c r="B28" s="101" t="s">
        <v>213</v>
      </c>
      <c r="C28" s="102"/>
      <c r="D28" s="102">
        <f>PV(D27,D26,-D23,,)</f>
        <v>8741231.3875936475</v>
      </c>
      <c r="E28" s="61"/>
      <c r="F28" s="61"/>
      <c r="G28" s="60"/>
      <c r="I28" s="101" t="s">
        <v>213</v>
      </c>
      <c r="J28" s="102"/>
      <c r="K28" s="102">
        <f>PV(K27,K26,-K23,,)</f>
        <v>8741231.3875936475</v>
      </c>
    </row>
    <row r="29" spans="1:11" ht="17.149999999999999" customHeight="1" x14ac:dyDescent="0.35">
      <c r="A29" s="61"/>
      <c r="C29" s="61"/>
      <c r="E29" s="61"/>
      <c r="F29" s="61"/>
      <c r="G29" s="60"/>
      <c r="I29" s="62"/>
    </row>
    <row r="30" spans="1:11" ht="17.149999999999999" customHeight="1" x14ac:dyDescent="0.35">
      <c r="A30" s="88"/>
      <c r="B30" s="75" t="s">
        <v>214</v>
      </c>
      <c r="C30" s="76"/>
      <c r="D30" s="76" t="s">
        <v>215</v>
      </c>
      <c r="E30" s="61"/>
      <c r="F30" s="61"/>
      <c r="G30" s="60"/>
    </row>
    <row r="31" spans="1:11" ht="14.5" x14ac:dyDescent="0.35">
      <c r="A31" s="88"/>
      <c r="B31" s="90" t="s">
        <v>216</v>
      </c>
      <c r="C31" s="103"/>
      <c r="D31" s="80">
        <f>PV(((1.1)/(1.06)-1),10,,-2000000)-100000</f>
        <v>1280898.6235848628</v>
      </c>
      <c r="E31" s="104"/>
      <c r="F31" s="61"/>
      <c r="G31" s="60"/>
    </row>
    <row r="32" spans="1:11" ht="14.5" x14ac:dyDescent="0.35">
      <c r="A32" s="88"/>
      <c r="B32" s="90" t="s">
        <v>217</v>
      </c>
      <c r="C32" s="103"/>
      <c r="D32" s="80">
        <v>0</v>
      </c>
      <c r="E32" s="61"/>
      <c r="F32" s="61"/>
      <c r="G32" s="60"/>
    </row>
    <row r="33" spans="1:11" ht="17.149999999999999" customHeight="1" x14ac:dyDescent="0.35">
      <c r="A33" s="88"/>
      <c r="B33" s="90" t="s">
        <v>218</v>
      </c>
      <c r="C33" s="105"/>
      <c r="D33" s="80">
        <v>0</v>
      </c>
      <c r="E33" s="61"/>
      <c r="F33" s="61"/>
      <c r="G33" s="60"/>
    </row>
    <row r="34" spans="1:11" ht="17.149999999999999" customHeight="1" x14ac:dyDescent="0.35">
      <c r="A34" s="88"/>
      <c r="B34" s="90" t="s">
        <v>219</v>
      </c>
      <c r="C34" s="105"/>
      <c r="D34" s="80">
        <v>0</v>
      </c>
      <c r="E34" s="61"/>
      <c r="F34" s="61"/>
      <c r="G34" s="60"/>
    </row>
    <row r="35" spans="1:11" ht="17.149999999999999" customHeight="1" x14ac:dyDescent="0.35">
      <c r="A35" s="88"/>
      <c r="B35" s="106" t="s">
        <v>220</v>
      </c>
      <c r="C35" s="105"/>
      <c r="D35" s="80"/>
      <c r="E35" s="61"/>
      <c r="F35" s="61"/>
      <c r="G35" s="60"/>
    </row>
    <row r="36" spans="1:11" ht="17.149999999999999" customHeight="1" x14ac:dyDescent="0.35">
      <c r="A36" s="88"/>
      <c r="B36" s="63" t="s">
        <v>221</v>
      </c>
      <c r="C36" s="107"/>
      <c r="D36" s="80"/>
      <c r="E36" s="61"/>
      <c r="F36" s="61"/>
      <c r="G36" s="60"/>
    </row>
    <row r="37" spans="1:11" ht="17.149999999999999" customHeight="1" x14ac:dyDescent="0.35">
      <c r="A37" s="88"/>
      <c r="B37" s="63" t="s">
        <v>222</v>
      </c>
      <c r="C37" s="107"/>
      <c r="D37" s="80"/>
      <c r="E37" s="61"/>
      <c r="F37" s="61"/>
      <c r="G37" s="60"/>
    </row>
    <row r="38" spans="1:11" ht="17.149999999999999" customHeight="1" x14ac:dyDescent="0.35">
      <c r="A38" s="88"/>
      <c r="B38" s="108" t="s">
        <v>223</v>
      </c>
      <c r="C38" s="105"/>
      <c r="D38" s="80">
        <f>C37*C36</f>
        <v>0</v>
      </c>
      <c r="E38" s="61"/>
      <c r="F38" s="61"/>
      <c r="G38" s="60"/>
    </row>
    <row r="39" spans="1:11" ht="17.149999999999999" customHeight="1" x14ac:dyDescent="0.35">
      <c r="A39" s="88"/>
      <c r="B39" s="63" t="s">
        <v>224</v>
      </c>
      <c r="C39" s="64"/>
      <c r="D39" s="80"/>
      <c r="E39" s="61"/>
      <c r="F39" s="61"/>
      <c r="G39" s="60"/>
    </row>
    <row r="40" spans="1:11" ht="17.149999999999999" customHeight="1" x14ac:dyDescent="0.35">
      <c r="A40" s="88"/>
      <c r="B40" s="63" t="s">
        <v>225</v>
      </c>
      <c r="C40" s="107"/>
      <c r="D40" s="80"/>
      <c r="E40" s="61"/>
      <c r="F40" s="61"/>
      <c r="G40" s="60"/>
    </row>
    <row r="41" spans="1:11" ht="17.149999999999999" customHeight="1" x14ac:dyDescent="0.35">
      <c r="A41" s="88"/>
      <c r="B41" s="108" t="s">
        <v>226</v>
      </c>
      <c r="C41" s="64"/>
      <c r="D41" s="80">
        <f>C40*C39</f>
        <v>0</v>
      </c>
      <c r="E41" s="61"/>
      <c r="F41" s="61"/>
      <c r="G41" s="60"/>
    </row>
    <row r="42" spans="1:11" ht="17.149999999999999" customHeight="1" x14ac:dyDescent="0.35">
      <c r="A42" s="88"/>
      <c r="B42" s="90" t="s">
        <v>227</v>
      </c>
      <c r="C42" s="105"/>
      <c r="D42" s="80"/>
      <c r="E42" s="61"/>
      <c r="F42" s="61"/>
      <c r="G42" s="60"/>
    </row>
    <row r="43" spans="1:11" ht="17.149999999999999" customHeight="1" x14ac:dyDescent="0.35">
      <c r="A43" s="88"/>
      <c r="B43" s="90" t="s">
        <v>228</v>
      </c>
      <c r="C43" s="105"/>
      <c r="D43" s="80"/>
      <c r="E43" s="61"/>
      <c r="F43" s="61"/>
      <c r="G43" s="60"/>
    </row>
    <row r="44" spans="1:11" ht="17.149999999999999" customHeight="1" x14ac:dyDescent="0.35">
      <c r="A44" s="88"/>
      <c r="B44" s="63" t="s">
        <v>229</v>
      </c>
      <c r="C44" s="64"/>
      <c r="D44" s="80"/>
      <c r="E44" s="61"/>
      <c r="F44" s="61"/>
      <c r="G44" s="60"/>
    </row>
    <row r="45" spans="1:11" ht="17.149999999999999" customHeight="1" x14ac:dyDescent="0.35">
      <c r="A45" s="88"/>
      <c r="B45" s="63" t="s">
        <v>230</v>
      </c>
      <c r="C45" s="64"/>
      <c r="D45" s="80"/>
      <c r="E45" s="61"/>
      <c r="F45" s="61"/>
      <c r="G45" s="60"/>
    </row>
    <row r="46" spans="1:11" ht="17.149999999999999" customHeight="1" x14ac:dyDescent="0.35">
      <c r="A46" s="88"/>
      <c r="B46" s="63" t="s">
        <v>231</v>
      </c>
      <c r="C46" s="64"/>
      <c r="D46" s="80"/>
      <c r="E46" s="61"/>
      <c r="F46" s="61"/>
      <c r="G46" s="60"/>
    </row>
    <row r="47" spans="1:11" ht="17.149999999999999" customHeight="1" x14ac:dyDescent="0.35">
      <c r="A47" s="88"/>
      <c r="B47" s="101" t="s">
        <v>232</v>
      </c>
      <c r="C47" s="102"/>
      <c r="D47" s="102">
        <f>SUM(D31:D46)</f>
        <v>1280898.6235848628</v>
      </c>
      <c r="E47" s="61"/>
      <c r="F47" s="61"/>
      <c r="G47" s="60"/>
      <c r="I47" s="101" t="s">
        <v>232</v>
      </c>
      <c r="J47" s="102"/>
      <c r="K47" s="102">
        <f>D47</f>
        <v>1280898.6235848628</v>
      </c>
    </row>
    <row r="48" spans="1:11" ht="17.149999999999999" customHeight="1" x14ac:dyDescent="0.35">
      <c r="A48" s="61"/>
      <c r="C48" s="61"/>
      <c r="E48" s="61"/>
      <c r="F48" s="61"/>
      <c r="G48" s="60"/>
      <c r="I48" s="62"/>
    </row>
    <row r="49" spans="1:11" ht="17.149999999999999" customHeight="1" x14ac:dyDescent="0.35">
      <c r="A49" s="88"/>
      <c r="B49" s="75" t="s">
        <v>233</v>
      </c>
      <c r="C49" s="76"/>
      <c r="D49" s="76" t="s">
        <v>234</v>
      </c>
      <c r="E49" s="61"/>
      <c r="F49" s="61"/>
      <c r="G49" s="60"/>
    </row>
    <row r="50" spans="1:11" ht="17.149999999999999" customHeight="1" x14ac:dyDescent="0.35">
      <c r="B50" s="90" t="s">
        <v>235</v>
      </c>
      <c r="C50" s="105"/>
      <c r="D50" s="80">
        <v>2500000</v>
      </c>
      <c r="E50" s="61"/>
      <c r="F50" s="61"/>
      <c r="G50" s="60"/>
    </row>
    <row r="51" spans="1:11" ht="17.149999999999999" customHeight="1" x14ac:dyDescent="0.35">
      <c r="B51" s="90" t="s">
        <v>236</v>
      </c>
      <c r="C51" s="105"/>
      <c r="D51" s="80">
        <v>0</v>
      </c>
      <c r="E51" s="61"/>
      <c r="F51" s="61"/>
      <c r="G51" s="60"/>
    </row>
    <row r="52" spans="1:11" ht="17.149999999999999" customHeight="1" x14ac:dyDescent="0.35">
      <c r="B52" s="101" t="s">
        <v>237</v>
      </c>
      <c r="C52" s="102"/>
      <c r="D52" s="102">
        <f>SUM(D50:D51)</f>
        <v>2500000</v>
      </c>
      <c r="E52" s="61"/>
      <c r="F52" s="61"/>
      <c r="G52" s="60"/>
      <c r="I52" s="101" t="s">
        <v>237</v>
      </c>
      <c r="J52" s="102"/>
      <c r="K52" s="102">
        <v>0</v>
      </c>
    </row>
    <row r="53" spans="1:11" ht="17.149999999999999" customHeight="1" x14ac:dyDescent="0.35">
      <c r="A53" s="61"/>
      <c r="C53" s="61"/>
      <c r="E53" s="61"/>
      <c r="F53" s="61"/>
      <c r="G53" s="60"/>
      <c r="I53" s="62"/>
    </row>
    <row r="54" spans="1:11" ht="17.149999999999999" customHeight="1" x14ac:dyDescent="0.35">
      <c r="B54" s="109" t="s">
        <v>238</v>
      </c>
      <c r="C54" s="110" t="s">
        <v>239</v>
      </c>
      <c r="D54" s="111">
        <f>D47+D52+D28</f>
        <v>12522130.01117851</v>
      </c>
      <c r="E54" s="61"/>
      <c r="F54" s="61"/>
      <c r="G54" s="60"/>
      <c r="I54" s="109" t="s">
        <v>240</v>
      </c>
      <c r="J54" s="110" t="s">
        <v>239</v>
      </c>
      <c r="K54" s="111">
        <f>K47+K52+K28</f>
        <v>10022130.01117851</v>
      </c>
    </row>
    <row r="55" spans="1:11" ht="17.149999999999999" customHeight="1" x14ac:dyDescent="0.35">
      <c r="B55" s="90" t="s">
        <v>241</v>
      </c>
      <c r="C55" s="112"/>
      <c r="D55" s="113">
        <f>3000000</f>
        <v>3000000</v>
      </c>
      <c r="E55" s="61"/>
      <c r="F55" s="61"/>
      <c r="G55" s="60"/>
      <c r="I55" s="90" t="s">
        <v>241</v>
      </c>
      <c r="J55" s="112"/>
      <c r="K55" s="114">
        <f>D55</f>
        <v>3000000</v>
      </c>
    </row>
    <row r="56" spans="1:11" ht="17.149999999999999" customHeight="1" x14ac:dyDescent="0.35">
      <c r="B56" s="90" t="s">
        <v>242</v>
      </c>
      <c r="C56" s="115" t="s">
        <v>243</v>
      </c>
      <c r="D56" s="116">
        <f>IF(C56="Yes",K69,0)</f>
        <v>3350461.8756962377</v>
      </c>
      <c r="E56" s="61"/>
      <c r="F56" s="61"/>
      <c r="G56" s="60"/>
      <c r="I56" s="90" t="s">
        <v>242</v>
      </c>
      <c r="J56" s="115" t="s">
        <v>243</v>
      </c>
      <c r="K56" s="116">
        <f>IF(J56="Yes",D69,0)</f>
        <v>16752309.378481189</v>
      </c>
    </row>
    <row r="57" spans="1:11" ht="17.149999999999999" customHeight="1" x14ac:dyDescent="0.35">
      <c r="B57" s="109" t="s">
        <v>244</v>
      </c>
      <c r="C57" s="110"/>
      <c r="D57" s="110">
        <f>IF(SIGN(D54-SUM(D55:D56))=-1,"NIL",D54-SUM(D55:D56))</f>
        <v>6171668.1354822721</v>
      </c>
      <c r="E57" s="61"/>
      <c r="F57" s="61"/>
      <c r="G57" s="60"/>
      <c r="I57" s="109" t="s">
        <v>244</v>
      </c>
      <c r="J57" s="110"/>
      <c r="K57" s="110" t="str">
        <f>IF(SIGN(K54-SUM(K55:K56))=-1,"NIL",K54-SUM(K55:K56))</f>
        <v>NIL</v>
      </c>
    </row>
    <row r="58" spans="1:11" s="122" customFormat="1" ht="17.149999999999999" customHeight="1" x14ac:dyDescent="0.35">
      <c r="A58" s="117"/>
      <c r="B58" s="118"/>
      <c r="C58" s="119"/>
      <c r="D58" s="120"/>
      <c r="E58" s="121"/>
      <c r="G58" s="123"/>
      <c r="I58" s="124"/>
      <c r="J58" s="124"/>
      <c r="K58" s="125"/>
    </row>
    <row r="59" spans="1:11" ht="17.149999999999999" customHeight="1" x14ac:dyDescent="0.35">
      <c r="B59" s="61"/>
      <c r="C59" s="126"/>
      <c r="D59" s="126"/>
      <c r="E59" s="61"/>
      <c r="F59" s="61"/>
      <c r="G59" s="60"/>
      <c r="I59" s="58"/>
      <c r="J59" s="58"/>
      <c r="K59" s="58"/>
    </row>
    <row r="60" spans="1:11" ht="17.149999999999999" customHeight="1" x14ac:dyDescent="0.35">
      <c r="A60" s="69">
        <v>2</v>
      </c>
      <c r="B60" s="70" t="s">
        <v>245</v>
      </c>
      <c r="C60" s="71"/>
      <c r="D60" s="72"/>
      <c r="E60" s="72"/>
      <c r="F60" s="61"/>
      <c r="G60" s="60"/>
      <c r="H60" s="69">
        <v>2</v>
      </c>
      <c r="I60" s="70" t="s">
        <v>245</v>
      </c>
      <c r="J60" s="71"/>
      <c r="K60" s="72"/>
    </row>
    <row r="61" spans="1:11" ht="17.149999999999999" customHeight="1" x14ac:dyDescent="0.35">
      <c r="A61" s="88"/>
      <c r="E61" s="61"/>
      <c r="F61" s="61"/>
      <c r="G61" s="60"/>
      <c r="H61" s="88"/>
      <c r="I61" s="62"/>
      <c r="J61" s="58"/>
    </row>
    <row r="62" spans="1:11" ht="17.149999999999999" customHeight="1" x14ac:dyDescent="0.35">
      <c r="A62" s="88"/>
      <c r="B62" s="127" t="str">
        <f>B6</f>
        <v>Net Annual Income (Post Tax)</v>
      </c>
      <c r="C62" s="64"/>
      <c r="D62" s="128">
        <f>D6</f>
        <v>1000000</v>
      </c>
      <c r="E62" s="61"/>
      <c r="F62" s="61"/>
      <c r="G62" s="60"/>
      <c r="H62" s="88"/>
      <c r="I62" s="127" t="str">
        <f>I6</f>
        <v>Net Annual Income (Post Tax)</v>
      </c>
      <c r="J62" s="64"/>
      <c r="K62" s="129">
        <f>K6</f>
        <v>200000</v>
      </c>
    </row>
    <row r="63" spans="1:11" ht="17.149999999999999" customHeight="1" x14ac:dyDescent="0.35">
      <c r="A63" s="88"/>
      <c r="B63" s="127" t="s">
        <v>188</v>
      </c>
      <c r="C63" s="64"/>
      <c r="D63" s="130">
        <f>D3</f>
        <v>33</v>
      </c>
      <c r="E63" s="61"/>
      <c r="F63" s="61"/>
      <c r="G63" s="60"/>
      <c r="H63" s="88"/>
      <c r="I63" s="127" t="s">
        <v>188</v>
      </c>
      <c r="J63" s="64"/>
      <c r="K63" s="130">
        <f>K3</f>
        <v>33</v>
      </c>
    </row>
    <row r="64" spans="1:11" ht="17.149999999999999" customHeight="1" x14ac:dyDescent="0.35">
      <c r="A64" s="88"/>
      <c r="B64" s="127" t="s">
        <v>4</v>
      </c>
      <c r="C64" s="64"/>
      <c r="D64" s="130">
        <f>D4</f>
        <v>60</v>
      </c>
      <c r="E64" s="61"/>
      <c r="F64" s="61"/>
      <c r="G64" s="60"/>
      <c r="H64" s="88"/>
      <c r="I64" s="127" t="s">
        <v>4</v>
      </c>
      <c r="J64" s="64"/>
      <c r="K64" s="130">
        <f>K4</f>
        <v>60</v>
      </c>
    </row>
    <row r="65" spans="1:11" ht="17.149999999999999" customHeight="1" x14ac:dyDescent="0.35">
      <c r="A65" s="88"/>
      <c r="B65" s="127" t="s">
        <v>246</v>
      </c>
      <c r="C65" s="64"/>
      <c r="D65" s="130">
        <f>D64-D63</f>
        <v>27</v>
      </c>
      <c r="E65" s="61"/>
      <c r="F65" s="61"/>
      <c r="G65" s="60"/>
      <c r="H65" s="88"/>
      <c r="I65" s="127" t="s">
        <v>246</v>
      </c>
      <c r="J65" s="64"/>
      <c r="K65" s="130">
        <f>K64-K63</f>
        <v>27</v>
      </c>
    </row>
    <row r="66" spans="1:11" ht="17.149999999999999" customHeight="1" x14ac:dyDescent="0.35">
      <c r="A66" s="88"/>
      <c r="B66" s="127" t="s">
        <v>247</v>
      </c>
      <c r="C66" s="64"/>
      <c r="D66" s="131">
        <v>0.1</v>
      </c>
      <c r="E66" s="61"/>
      <c r="F66" s="61"/>
      <c r="G66" s="60"/>
      <c r="H66" s="88"/>
      <c r="I66" s="127" t="s">
        <v>247</v>
      </c>
      <c r="J66" s="64"/>
      <c r="K66" s="132">
        <v>0.1</v>
      </c>
    </row>
    <row r="67" spans="1:11" ht="17.149999999999999" customHeight="1" x14ac:dyDescent="0.35">
      <c r="A67" s="88"/>
      <c r="B67" s="127" t="s">
        <v>248</v>
      </c>
      <c r="C67" s="64"/>
      <c r="D67" s="133">
        <v>0.06</v>
      </c>
      <c r="E67" s="61"/>
      <c r="F67" s="61"/>
      <c r="G67" s="60"/>
      <c r="H67" s="88"/>
      <c r="I67" s="127" t="s">
        <v>248</v>
      </c>
      <c r="J67" s="64"/>
      <c r="K67" s="133">
        <v>0.06</v>
      </c>
    </row>
    <row r="68" spans="1:11" ht="17.149999999999999" customHeight="1" x14ac:dyDescent="0.35">
      <c r="A68" s="88"/>
      <c r="B68" s="127" t="s">
        <v>212</v>
      </c>
      <c r="C68" s="64"/>
      <c r="D68" s="134">
        <f>(1+D66)/(1+D67)-1</f>
        <v>3.7735849056603765E-2</v>
      </c>
      <c r="E68" s="61"/>
      <c r="F68" s="61"/>
      <c r="G68" s="60"/>
      <c r="H68" s="88"/>
      <c r="I68" s="127" t="s">
        <v>212</v>
      </c>
      <c r="J68" s="64"/>
      <c r="K68" s="134">
        <f>(1+K66)/(1+K67)-1</f>
        <v>3.7735849056603765E-2</v>
      </c>
    </row>
    <row r="69" spans="1:11" ht="17.149999999999999" customHeight="1" x14ac:dyDescent="0.35">
      <c r="A69" s="88"/>
      <c r="B69" s="135" t="s">
        <v>249</v>
      </c>
      <c r="C69" s="136"/>
      <c r="D69" s="136">
        <f>PV(D68,D65,-D62)</f>
        <v>16752309.378481189</v>
      </c>
      <c r="E69" s="61"/>
      <c r="F69" s="61"/>
      <c r="G69" s="60"/>
      <c r="H69" s="88"/>
      <c r="I69" s="135" t="s">
        <v>249</v>
      </c>
      <c r="J69" s="136"/>
      <c r="K69" s="136">
        <f>PV(K68,K65,-K62)</f>
        <v>3350461.8756962377</v>
      </c>
    </row>
    <row r="70" spans="1:11" ht="17.149999999999999" customHeight="1" x14ac:dyDescent="0.35">
      <c r="A70" s="88"/>
      <c r="B70" s="137"/>
      <c r="C70" s="138"/>
      <c r="D70" s="138"/>
      <c r="E70" s="61"/>
      <c r="F70" s="61"/>
      <c r="G70" s="60"/>
      <c r="H70" s="88"/>
      <c r="I70" s="137"/>
      <c r="J70" s="138"/>
      <c r="K70" s="138"/>
    </row>
    <row r="71" spans="1:11" ht="17.149999999999999" customHeight="1" x14ac:dyDescent="0.35">
      <c r="A71" s="88"/>
      <c r="B71" s="139" t="s">
        <v>250</v>
      </c>
      <c r="C71" s="140" t="s">
        <v>82</v>
      </c>
      <c r="D71" s="138"/>
      <c r="E71" s="61"/>
      <c r="F71" s="61"/>
      <c r="G71" s="60"/>
      <c r="H71" s="88"/>
      <c r="I71" s="139" t="s">
        <v>250</v>
      </c>
      <c r="J71" s="140" t="s">
        <v>82</v>
      </c>
      <c r="K71" s="138"/>
    </row>
    <row r="72" spans="1:11" ht="17.149999999999999" customHeight="1" x14ac:dyDescent="0.35">
      <c r="A72" s="88"/>
      <c r="B72" s="141" t="s">
        <v>251</v>
      </c>
      <c r="C72" s="142">
        <f>D57</f>
        <v>6171668.1354822721</v>
      </c>
      <c r="D72" s="138"/>
      <c r="E72" s="61"/>
      <c r="F72" s="61"/>
      <c r="G72" s="60"/>
      <c r="H72" s="88"/>
      <c r="I72" s="141" t="s">
        <v>251</v>
      </c>
      <c r="J72" s="142" t="str">
        <f>K57</f>
        <v>NIL</v>
      </c>
      <c r="K72" s="138"/>
    </row>
    <row r="73" spans="1:11" ht="17.149999999999999" customHeight="1" x14ac:dyDescent="0.35">
      <c r="A73" s="88"/>
      <c r="B73" s="141" t="s">
        <v>252</v>
      </c>
      <c r="C73" s="142">
        <f>D69</f>
        <v>16752309.378481189</v>
      </c>
      <c r="D73" s="138"/>
      <c r="E73" s="61"/>
      <c r="F73" s="61"/>
      <c r="G73" s="60"/>
      <c r="H73" s="88"/>
      <c r="I73" s="141" t="s">
        <v>252</v>
      </c>
      <c r="J73" s="142">
        <f>K69</f>
        <v>3350461.8756962377</v>
      </c>
      <c r="K73" s="138"/>
    </row>
    <row r="74" spans="1:11" ht="17.149999999999999" customHeight="1" x14ac:dyDescent="0.35">
      <c r="A74" s="88"/>
      <c r="B74" s="139" t="s">
        <v>253</v>
      </c>
      <c r="C74" s="143">
        <f>IF(OR(C72="NIL",C73="NIL"),"NIL",MIN((C72:C73)))</f>
        <v>6171668.1354822721</v>
      </c>
      <c r="D74" s="138" t="s">
        <v>254</v>
      </c>
      <c r="E74" s="61"/>
      <c r="F74" s="61"/>
      <c r="G74" s="60"/>
      <c r="H74" s="88"/>
      <c r="I74" s="139" t="s">
        <v>253</v>
      </c>
      <c r="J74" s="143" t="str">
        <f>IF(OR(J72="NIL",J73="NIL"),"NIL",MIN((J72:J73)))</f>
        <v>NIL</v>
      </c>
      <c r="K74" s="138"/>
    </row>
    <row r="75" spans="1:11" ht="17.149999999999999" customHeight="1" x14ac:dyDescent="0.35">
      <c r="B75" s="90" t="s">
        <v>255</v>
      </c>
      <c r="C75" s="116"/>
      <c r="E75" s="61"/>
      <c r="F75" s="61"/>
      <c r="G75" s="60"/>
      <c r="I75" s="90" t="s">
        <v>255</v>
      </c>
      <c r="J75" s="116">
        <f>J58</f>
        <v>0</v>
      </c>
    </row>
    <row r="76" spans="1:11" ht="17.149999999999999" customHeight="1" x14ac:dyDescent="0.35">
      <c r="B76" s="144" t="s">
        <v>256</v>
      </c>
      <c r="C76" s="145">
        <f>IFERROR(IF((C74-C75)&lt;0,"NIL",C74-C75),"NIL")</f>
        <v>6171668.1354822721</v>
      </c>
      <c r="E76" s="61"/>
      <c r="F76" s="61"/>
      <c r="G76" s="60"/>
      <c r="I76" s="144" t="s">
        <v>256</v>
      </c>
      <c r="J76" s="145" t="str">
        <f>IFERROR(IF((J74-J75)&lt;0,"NIL",J74-J75),"NIL")</f>
        <v>NIL</v>
      </c>
    </row>
    <row r="77" spans="1:11" ht="17.149999999999999" customHeight="1" x14ac:dyDescent="0.35">
      <c r="A77" s="88"/>
      <c r="B77" s="137"/>
      <c r="C77" s="138"/>
      <c r="D77" s="138"/>
      <c r="E77" s="61"/>
      <c r="F77" s="61"/>
      <c r="G77" s="60"/>
      <c r="H77" s="88"/>
      <c r="I77" s="137"/>
      <c r="J77" s="138"/>
      <c r="K77" s="138"/>
    </row>
    <row r="78" spans="1:11" ht="17.149999999999999" customHeight="1" x14ac:dyDescent="0.35">
      <c r="A78" s="88"/>
      <c r="E78" s="61"/>
      <c r="F78" s="61"/>
      <c r="G78" s="60"/>
      <c r="H78" s="88"/>
      <c r="I78" s="137"/>
      <c r="J78" s="138"/>
      <c r="K78" s="138"/>
    </row>
    <row r="79" spans="1:11" ht="17.149999999999999" customHeight="1" x14ac:dyDescent="0.35">
      <c r="A79" s="88"/>
      <c r="E79" s="61"/>
      <c r="F79" s="61"/>
      <c r="G79" s="60"/>
      <c r="H79" s="88"/>
      <c r="I79" s="137"/>
      <c r="J79" s="138"/>
      <c r="K79" s="138"/>
    </row>
    <row r="80" spans="1:11" ht="17.149999999999999" customHeight="1" x14ac:dyDescent="0.35">
      <c r="A80" s="88"/>
      <c r="E80" s="61"/>
      <c r="F80" s="61"/>
      <c r="G80" s="60"/>
      <c r="H80" s="88"/>
      <c r="I80" s="137"/>
      <c r="J80" s="138"/>
      <c r="K80" s="138"/>
    </row>
    <row r="81" spans="1:19" ht="17.149999999999999" customHeight="1" x14ac:dyDescent="0.35">
      <c r="A81" s="88"/>
      <c r="E81" s="61"/>
      <c r="F81" s="61"/>
      <c r="G81" s="60"/>
      <c r="H81" s="88"/>
      <c r="I81" s="137"/>
      <c r="J81" s="138"/>
      <c r="K81" s="138"/>
    </row>
    <row r="82" spans="1:19" ht="17.149999999999999" customHeight="1" x14ac:dyDescent="0.35">
      <c r="A82" s="88"/>
      <c r="E82" s="61"/>
      <c r="F82" s="61"/>
      <c r="G82" s="60"/>
      <c r="H82" s="88"/>
      <c r="I82" s="137"/>
      <c r="J82" s="138"/>
      <c r="K82" s="138"/>
    </row>
    <row r="83" spans="1:19" ht="17.149999999999999" customHeight="1" x14ac:dyDescent="0.35">
      <c r="A83" s="88"/>
      <c r="E83" s="61"/>
      <c r="F83" s="61"/>
      <c r="G83" s="60"/>
      <c r="H83" s="88"/>
      <c r="I83" s="137"/>
      <c r="J83" s="138"/>
      <c r="K83" s="138"/>
    </row>
    <row r="84" spans="1:19" ht="17.149999999999999" customHeight="1" x14ac:dyDescent="0.35">
      <c r="A84" s="88"/>
      <c r="E84" s="61"/>
      <c r="F84" s="61"/>
      <c r="G84" s="60"/>
      <c r="H84" s="88"/>
      <c r="I84" s="137"/>
      <c r="J84" s="138"/>
      <c r="K84" s="138"/>
    </row>
    <row r="85" spans="1:19" ht="17.149999999999999" customHeight="1" x14ac:dyDescent="0.35">
      <c r="A85" s="88"/>
      <c r="E85" s="61"/>
      <c r="F85" s="61"/>
      <c r="G85" s="60"/>
      <c r="H85" s="88"/>
      <c r="I85" s="137"/>
      <c r="J85" s="138"/>
      <c r="K85" s="138"/>
    </row>
    <row r="86" spans="1:19" ht="17.149999999999999" customHeight="1" x14ac:dyDescent="0.35">
      <c r="A86" s="88"/>
      <c r="E86" s="61"/>
      <c r="F86" s="61"/>
      <c r="G86" s="60"/>
      <c r="H86" s="88"/>
      <c r="I86" s="137"/>
      <c r="J86" s="138"/>
      <c r="K86" s="138"/>
    </row>
    <row r="87" spans="1:19" ht="17.149999999999999" customHeight="1" x14ac:dyDescent="0.35">
      <c r="A87" s="88"/>
      <c r="E87" s="61"/>
      <c r="F87" s="61"/>
      <c r="G87" s="60"/>
      <c r="H87" s="88"/>
      <c r="I87" s="137"/>
      <c r="J87" s="138"/>
      <c r="K87" s="138"/>
    </row>
    <row r="88" spans="1:19" ht="17.149999999999999" customHeight="1" x14ac:dyDescent="0.35">
      <c r="A88" s="88"/>
      <c r="B88" s="137"/>
      <c r="C88" s="138"/>
      <c r="D88" s="138"/>
      <c r="E88" s="61"/>
      <c r="F88" s="61"/>
      <c r="G88" s="60"/>
      <c r="H88" s="88"/>
      <c r="I88" s="137"/>
      <c r="J88" s="138"/>
      <c r="K88" s="138"/>
    </row>
    <row r="89" spans="1:19" ht="17.149999999999999" customHeight="1" x14ac:dyDescent="0.35">
      <c r="A89" s="88"/>
      <c r="B89" s="137"/>
      <c r="C89" s="138"/>
      <c r="D89" s="138"/>
      <c r="E89" s="61"/>
      <c r="F89" s="61"/>
      <c r="G89" s="60"/>
      <c r="H89" s="88"/>
      <c r="I89" s="137"/>
      <c r="J89" s="138"/>
      <c r="K89" s="138"/>
    </row>
    <row r="90" spans="1:19" ht="17.149999999999999" customHeight="1" x14ac:dyDescent="0.35">
      <c r="A90" s="88"/>
      <c r="B90" s="137"/>
      <c r="C90" s="138"/>
      <c r="D90" s="138"/>
      <c r="E90" s="61"/>
      <c r="F90" s="61"/>
      <c r="G90" s="60"/>
      <c r="H90" s="88"/>
      <c r="I90" s="137"/>
      <c r="J90" s="138"/>
      <c r="K90" s="138"/>
    </row>
    <row r="91" spans="1:19" ht="20.149999999999999" customHeight="1" x14ac:dyDescent="0.35">
      <c r="A91" s="69">
        <v>3</v>
      </c>
      <c r="B91" s="70" t="s">
        <v>257</v>
      </c>
      <c r="C91" s="71"/>
      <c r="D91" s="72"/>
      <c r="E91" s="72"/>
      <c r="F91" s="61"/>
      <c r="G91" s="60"/>
      <c r="H91" s="69">
        <v>3</v>
      </c>
      <c r="I91" s="70" t="s">
        <v>257</v>
      </c>
      <c r="J91" s="71"/>
      <c r="K91" s="72"/>
    </row>
    <row r="92" spans="1:19" ht="17.149999999999999" customHeight="1" x14ac:dyDescent="0.35">
      <c r="A92" s="88"/>
      <c r="B92" s="62" t="s">
        <v>258</v>
      </c>
      <c r="F92" s="61"/>
      <c r="G92" s="60"/>
      <c r="I92" s="62" t="s">
        <v>258</v>
      </c>
      <c r="J92" s="58"/>
      <c r="P92" s="146"/>
      <c r="S92" s="147"/>
    </row>
    <row r="93" spans="1:19" ht="17.149999999999999" customHeight="1" x14ac:dyDescent="0.35">
      <c r="A93" s="88"/>
      <c r="B93" s="62" t="s">
        <v>259</v>
      </c>
      <c r="F93" s="61"/>
      <c r="G93" s="60"/>
      <c r="I93" s="62" t="s">
        <v>259</v>
      </c>
      <c r="J93" s="58"/>
      <c r="P93" s="146"/>
      <c r="S93" s="147"/>
    </row>
    <row r="94" spans="1:19" ht="17.149999999999999" customHeight="1" x14ac:dyDescent="0.35">
      <c r="A94" s="88"/>
      <c r="B94" s="75" t="s">
        <v>260</v>
      </c>
      <c r="C94" s="76"/>
      <c r="D94" s="76"/>
      <c r="E94" s="61"/>
      <c r="F94" s="61"/>
      <c r="G94" s="60"/>
      <c r="I94" s="75" t="s">
        <v>260</v>
      </c>
      <c r="J94" s="76"/>
      <c r="K94" s="76"/>
    </row>
    <row r="95" spans="1:19" ht="17.149999999999999" customHeight="1" x14ac:dyDescent="0.35">
      <c r="A95" s="88"/>
      <c r="B95" s="90" t="s">
        <v>205</v>
      </c>
      <c r="C95" s="64"/>
      <c r="D95" s="79">
        <v>0.1</v>
      </c>
      <c r="E95" s="61"/>
      <c r="F95" s="61"/>
      <c r="G95" s="91"/>
      <c r="H95" s="92"/>
      <c r="I95" s="90" t="s">
        <v>205</v>
      </c>
      <c r="J95" s="64"/>
      <c r="K95" s="79">
        <v>0.1</v>
      </c>
    </row>
    <row r="96" spans="1:19" ht="17.149999999999999" customHeight="1" x14ac:dyDescent="0.35">
      <c r="A96" s="88"/>
      <c r="B96" s="90" t="s">
        <v>206</v>
      </c>
      <c r="C96" s="64"/>
      <c r="D96" s="93">
        <v>0.06</v>
      </c>
      <c r="E96" s="61"/>
      <c r="F96" s="61"/>
      <c r="G96" s="94"/>
      <c r="H96" s="95"/>
      <c r="I96" s="90" t="s">
        <v>206</v>
      </c>
      <c r="J96" s="64"/>
      <c r="K96" s="93">
        <f>D96</f>
        <v>0.06</v>
      </c>
    </row>
    <row r="97" spans="1:19" ht="17.149999999999999" customHeight="1" x14ac:dyDescent="0.35">
      <c r="A97" s="88"/>
      <c r="B97" s="90" t="s">
        <v>207</v>
      </c>
      <c r="C97" s="64"/>
      <c r="D97" s="96">
        <f>(C18*12)+(200000)</f>
        <v>700000</v>
      </c>
      <c r="E97" s="61"/>
      <c r="F97" s="61"/>
      <c r="G97" s="94"/>
      <c r="H97" s="95"/>
      <c r="I97" s="90" t="s">
        <v>207</v>
      </c>
      <c r="J97" s="64"/>
      <c r="K97" s="96">
        <f>(C18*12)+(200000)</f>
        <v>700000</v>
      </c>
    </row>
    <row r="98" spans="1:19" ht="17.149999999999999" customHeight="1" x14ac:dyDescent="0.35">
      <c r="A98" s="88"/>
      <c r="B98" s="148" t="s">
        <v>261</v>
      </c>
      <c r="C98" s="64"/>
      <c r="D98" s="97">
        <f>MIN(D3,K3)</f>
        <v>33</v>
      </c>
      <c r="E98" s="61"/>
      <c r="F98" s="61"/>
      <c r="G98" s="60"/>
      <c r="I98" s="149" t="s">
        <v>261</v>
      </c>
      <c r="J98" s="64"/>
      <c r="K98" s="97">
        <f>MIN(D3,K3)</f>
        <v>33</v>
      </c>
    </row>
    <row r="99" spans="1:19" ht="17.149999999999999" customHeight="1" x14ac:dyDescent="0.35">
      <c r="A99" s="88"/>
      <c r="B99" s="90" t="s">
        <v>262</v>
      </c>
      <c r="C99" s="64"/>
      <c r="D99" s="97">
        <f>K5</f>
        <v>80</v>
      </c>
      <c r="E99" s="61"/>
      <c r="F99" s="61"/>
      <c r="G99" s="98"/>
      <c r="H99" s="99"/>
      <c r="I99" s="90" t="s">
        <v>262</v>
      </c>
      <c r="J99" s="64"/>
      <c r="K99" s="97">
        <f>D5</f>
        <v>80</v>
      </c>
    </row>
    <row r="100" spans="1:19" ht="17.149999999999999" customHeight="1" x14ac:dyDescent="0.35">
      <c r="A100" s="88"/>
      <c r="B100" s="90" t="s">
        <v>263</v>
      </c>
      <c r="C100" s="64"/>
      <c r="D100" s="97">
        <f>D99-D98</f>
        <v>47</v>
      </c>
      <c r="E100" s="61"/>
      <c r="F100" s="61"/>
      <c r="G100" s="60"/>
      <c r="I100" s="90" t="s">
        <v>263</v>
      </c>
      <c r="J100" s="64"/>
      <c r="K100" s="97">
        <f>K99-K98</f>
        <v>47</v>
      </c>
    </row>
    <row r="101" spans="1:19" ht="17.149999999999999" customHeight="1" x14ac:dyDescent="0.35">
      <c r="A101" s="88"/>
      <c r="B101" s="90" t="s">
        <v>212</v>
      </c>
      <c r="C101" s="64"/>
      <c r="D101" s="100">
        <f>(1+D95)/(1+D96)-1</f>
        <v>3.7735849056603765E-2</v>
      </c>
      <c r="E101" s="61"/>
      <c r="F101" s="61"/>
      <c r="G101" s="60"/>
      <c r="I101" s="90" t="s">
        <v>212</v>
      </c>
      <c r="J101" s="64"/>
      <c r="K101" s="100">
        <f>(1+K95)/(1+K96)-1</f>
        <v>3.7735849056603765E-2</v>
      </c>
    </row>
    <row r="102" spans="1:19" ht="17.149999999999999" customHeight="1" x14ac:dyDescent="0.35">
      <c r="A102" s="88"/>
      <c r="B102" s="101" t="s">
        <v>213</v>
      </c>
      <c r="C102" s="102"/>
      <c r="D102" s="102">
        <f>PV(D101,D100,-D97,,)</f>
        <v>15297154.928288881</v>
      </c>
      <c r="E102" s="61"/>
      <c r="F102" s="61"/>
      <c r="G102" s="60"/>
      <c r="I102" s="101" t="s">
        <v>213</v>
      </c>
      <c r="J102" s="102"/>
      <c r="K102" s="102">
        <f>PV(K101,K100,-K97,,)</f>
        <v>15297154.928288881</v>
      </c>
    </row>
    <row r="103" spans="1:19" ht="17.149999999999999" customHeight="1" x14ac:dyDescent="0.35">
      <c r="A103" s="88"/>
      <c r="B103" s="101" t="s">
        <v>264</v>
      </c>
      <c r="C103" s="102"/>
      <c r="D103" s="102">
        <f>D47</f>
        <v>1280898.6235848628</v>
      </c>
      <c r="E103" s="61"/>
      <c r="F103" s="61"/>
      <c r="G103" s="60"/>
      <c r="I103" s="101" t="s">
        <v>264</v>
      </c>
      <c r="J103" s="102"/>
      <c r="K103" s="102">
        <f>D103</f>
        <v>1280898.6235848628</v>
      </c>
    </row>
    <row r="104" spans="1:19" ht="17.149999999999999" customHeight="1" x14ac:dyDescent="0.35">
      <c r="A104" s="88"/>
      <c r="B104" s="101" t="s">
        <v>237</v>
      </c>
      <c r="C104" s="102"/>
      <c r="D104" s="102">
        <f>D52</f>
        <v>2500000</v>
      </c>
      <c r="E104" s="61"/>
      <c r="F104" s="61"/>
      <c r="G104" s="60"/>
      <c r="I104" s="101" t="s">
        <v>237</v>
      </c>
      <c r="J104" s="102"/>
      <c r="K104" s="102">
        <v>0</v>
      </c>
    </row>
    <row r="105" spans="1:19" ht="17.149999999999999" customHeight="1" x14ac:dyDescent="0.35">
      <c r="A105" s="88"/>
      <c r="B105" s="101" t="s">
        <v>265</v>
      </c>
      <c r="C105" s="102"/>
      <c r="D105" s="102">
        <v>0</v>
      </c>
      <c r="E105" s="150"/>
      <c r="F105" s="61"/>
      <c r="G105" s="60"/>
      <c r="I105" s="101" t="s">
        <v>265</v>
      </c>
      <c r="J105" s="102"/>
      <c r="K105" s="102">
        <f>D105</f>
        <v>0</v>
      </c>
    </row>
    <row r="106" spans="1:19" ht="17.149999999999999" customHeight="1" x14ac:dyDescent="0.35">
      <c r="A106" s="88"/>
      <c r="B106" s="151" t="s">
        <v>266</v>
      </c>
      <c r="C106" s="110" t="s">
        <v>267</v>
      </c>
      <c r="D106" s="152">
        <f>D102+D103+D105+D104</f>
        <v>19078053.551873744</v>
      </c>
      <c r="E106" s="61"/>
      <c r="F106" s="61"/>
      <c r="G106" s="60"/>
      <c r="I106" s="151" t="s">
        <v>268</v>
      </c>
      <c r="J106" s="110" t="s">
        <v>267</v>
      </c>
      <c r="K106" s="152">
        <f>K102+K103+K105+K104</f>
        <v>16578053.551873744</v>
      </c>
    </row>
    <row r="107" spans="1:19" ht="17.149999999999999" customHeight="1" x14ac:dyDescent="0.35">
      <c r="B107" s="90" t="s">
        <v>241</v>
      </c>
      <c r="C107" s="112"/>
      <c r="D107" s="153">
        <f>D55</f>
        <v>3000000</v>
      </c>
      <c r="E107" s="150"/>
      <c r="F107" s="61"/>
      <c r="G107" s="60"/>
      <c r="I107" s="90" t="s">
        <v>241</v>
      </c>
      <c r="J107" s="112"/>
      <c r="K107" s="154">
        <f>D107</f>
        <v>3000000</v>
      </c>
    </row>
    <row r="108" spans="1:19" ht="17.149999999999999" customHeight="1" x14ac:dyDescent="0.35">
      <c r="B108" s="90" t="s">
        <v>242</v>
      </c>
      <c r="C108" s="115" t="s">
        <v>243</v>
      </c>
      <c r="D108" s="116">
        <f>K69</f>
        <v>3350461.8756962377</v>
      </c>
      <c r="E108" s="61"/>
      <c r="F108" s="61"/>
      <c r="G108" s="60"/>
      <c r="I108" s="90" t="s">
        <v>242</v>
      </c>
      <c r="J108" s="115" t="s">
        <v>243</v>
      </c>
      <c r="K108" s="116">
        <f>D69</f>
        <v>16752309.378481189</v>
      </c>
    </row>
    <row r="109" spans="1:19" ht="17.149999999999999" customHeight="1" thickBot="1" x14ac:dyDescent="0.4">
      <c r="B109" s="109" t="s">
        <v>269</v>
      </c>
      <c r="C109" s="110"/>
      <c r="D109" s="110">
        <f>IF(SIGN(D106-SUM(D107:D108))=-1,"NIL",D106-SUM(D107:D108))</f>
        <v>12727591.676177505</v>
      </c>
      <c r="E109" s="61"/>
      <c r="F109" s="61"/>
      <c r="G109" s="60"/>
      <c r="I109" s="109" t="s">
        <v>269</v>
      </c>
      <c r="J109" s="110"/>
      <c r="K109" s="110" t="str">
        <f>IF(SIGN(K106-SUM(K107:K108))=-1,"NIL",K106-SUM(K107:K108))</f>
        <v>NIL</v>
      </c>
    </row>
    <row r="110" spans="1:19" ht="17.149999999999999" customHeight="1" thickBot="1" x14ac:dyDescent="0.4">
      <c r="B110" s="58"/>
      <c r="D110" s="58"/>
      <c r="E110" s="61"/>
      <c r="F110" s="61"/>
      <c r="G110" s="60"/>
      <c r="I110" s="58"/>
      <c r="J110" s="58"/>
      <c r="K110" s="58"/>
      <c r="P110" s="155" t="s">
        <v>270</v>
      </c>
      <c r="Q110" s="156" t="s">
        <v>194</v>
      </c>
    </row>
    <row r="111" spans="1:19" ht="17.149999999999999" customHeight="1" thickBot="1" x14ac:dyDescent="0.4">
      <c r="A111" s="69">
        <v>4</v>
      </c>
      <c r="B111" s="70" t="s">
        <v>271</v>
      </c>
      <c r="C111" s="71"/>
      <c r="D111" s="72"/>
      <c r="E111" s="72"/>
      <c r="F111" s="61"/>
      <c r="G111" s="60"/>
      <c r="H111" s="69">
        <v>4</v>
      </c>
      <c r="I111" s="70" t="s">
        <v>271</v>
      </c>
      <c r="J111" s="71"/>
      <c r="K111" s="72"/>
      <c r="P111" s="157" t="s">
        <v>197</v>
      </c>
      <c r="Q111" s="158">
        <v>200000</v>
      </c>
    </row>
    <row r="112" spans="1:19" ht="17.149999999999999" customHeight="1" thickBot="1" x14ac:dyDescent="0.4">
      <c r="A112" s="88"/>
      <c r="E112" s="61"/>
      <c r="F112" s="61"/>
      <c r="G112" s="60"/>
      <c r="I112" s="62"/>
      <c r="J112" s="58"/>
      <c r="P112" s="157" t="s">
        <v>198</v>
      </c>
      <c r="Q112" s="158">
        <v>250000</v>
      </c>
      <c r="S112" s="147"/>
    </row>
    <row r="113" spans="1:13" ht="17.149999999999999" customHeight="1" x14ac:dyDescent="0.35">
      <c r="A113" s="88"/>
      <c r="B113" s="159" t="s">
        <v>272</v>
      </c>
      <c r="C113" s="160"/>
      <c r="D113" s="160">
        <f>D69</f>
        <v>16752309.378481189</v>
      </c>
      <c r="E113" s="61"/>
      <c r="F113" s="61"/>
      <c r="G113" s="60"/>
      <c r="I113" s="159" t="s">
        <v>272</v>
      </c>
      <c r="J113" s="159"/>
      <c r="K113" s="160">
        <f>K69</f>
        <v>3350461.8756962377</v>
      </c>
    </row>
    <row r="114" spans="1:13" ht="17.149999999999999" customHeight="1" x14ac:dyDescent="0.35">
      <c r="A114" s="88"/>
      <c r="D114" s="161"/>
      <c r="E114" s="61"/>
      <c r="F114" s="61"/>
      <c r="G114" s="60"/>
      <c r="I114" s="62"/>
      <c r="J114" s="58"/>
    </row>
    <row r="115" spans="1:13" ht="17.149999999999999" customHeight="1" x14ac:dyDescent="0.35">
      <c r="E115" s="61"/>
      <c r="F115" s="61"/>
      <c r="G115" s="60"/>
    </row>
    <row r="116" spans="1:13" ht="17.149999999999999" customHeight="1" x14ac:dyDescent="0.35">
      <c r="B116" s="139" t="s">
        <v>273</v>
      </c>
      <c r="C116" s="140" t="s">
        <v>82</v>
      </c>
      <c r="D116" s="58"/>
      <c r="G116" s="60"/>
      <c r="I116" s="139" t="s">
        <v>273</v>
      </c>
      <c r="J116" s="140" t="s">
        <v>82</v>
      </c>
    </row>
    <row r="117" spans="1:13" ht="17.149999999999999" customHeight="1" x14ac:dyDescent="0.35">
      <c r="B117" s="141" t="s">
        <v>274</v>
      </c>
      <c r="C117" s="142">
        <f>D109</f>
        <v>12727591.676177505</v>
      </c>
      <c r="G117" s="60"/>
      <c r="I117" s="141" t="s">
        <v>274</v>
      </c>
      <c r="J117" s="142" t="str">
        <f>K109</f>
        <v>NIL</v>
      </c>
    </row>
    <row r="118" spans="1:13" ht="17.149999999999999" customHeight="1" x14ac:dyDescent="0.35">
      <c r="B118" s="141" t="s">
        <v>275</v>
      </c>
      <c r="C118" s="142">
        <f>D113</f>
        <v>16752309.378481189</v>
      </c>
      <c r="G118" s="60"/>
      <c r="I118" s="141" t="s">
        <v>275</v>
      </c>
      <c r="J118" s="142">
        <f>K113</f>
        <v>3350461.8756962377</v>
      </c>
    </row>
    <row r="119" spans="1:13" ht="17.149999999999999" customHeight="1" x14ac:dyDescent="0.35">
      <c r="B119" s="139" t="s">
        <v>276</v>
      </c>
      <c r="C119" s="143">
        <f>IF(OR(C117="NIL",C118="NIL"),"NIL",MIN((C117:C118)))</f>
        <v>12727591.676177505</v>
      </c>
      <c r="G119" s="60"/>
      <c r="I119" s="139" t="s">
        <v>276</v>
      </c>
      <c r="J119" s="143" t="str">
        <f>IF(OR(J117="NIL",J118="NIL"),"NIL",MIN((J117:J118)))</f>
        <v>NIL</v>
      </c>
    </row>
    <row r="120" spans="1:13" ht="17.149999999999999" customHeight="1" x14ac:dyDescent="0.35">
      <c r="A120" s="88"/>
      <c r="B120" s="162" t="s">
        <v>277</v>
      </c>
      <c r="C120" s="64">
        <v>0</v>
      </c>
      <c r="D120" s="163"/>
      <c r="E120" s="61"/>
      <c r="F120" s="61"/>
      <c r="G120" s="60"/>
      <c r="I120" s="162" t="s">
        <v>277</v>
      </c>
      <c r="J120" s="64"/>
      <c r="M120" s="146"/>
    </row>
    <row r="121" spans="1:13" ht="17.149999999999999" customHeight="1" x14ac:dyDescent="0.35">
      <c r="A121" s="88"/>
      <c r="B121" s="144" t="s">
        <v>278</v>
      </c>
      <c r="C121" s="145">
        <f>IFERROR(IF(C119-C120&lt;0,"NIL",C119-C120),"NIL")</f>
        <v>12727591.676177505</v>
      </c>
      <c r="E121" s="61"/>
      <c r="F121" s="61"/>
      <c r="G121" s="60"/>
      <c r="I121" s="144" t="s">
        <v>278</v>
      </c>
      <c r="J121" s="145" t="str">
        <f>IFERROR(IF(J119-J120&lt;0,"NIL",J119-J120),"NIL")</f>
        <v>NIL</v>
      </c>
      <c r="M121" s="146"/>
    </row>
    <row r="122" spans="1:13" ht="17.149999999999999" customHeight="1" x14ac:dyDescent="0.35">
      <c r="A122" s="88"/>
      <c r="B122" s="164"/>
      <c r="E122" s="61"/>
      <c r="F122" s="61"/>
      <c r="G122" s="60"/>
      <c r="M122" s="146"/>
    </row>
    <row r="123" spans="1:13" ht="17.149999999999999" customHeight="1" x14ac:dyDescent="0.35">
      <c r="A123" s="88"/>
      <c r="B123" s="164"/>
      <c r="E123" s="61"/>
      <c r="F123" s="61"/>
      <c r="G123" s="60"/>
      <c r="M123" s="146"/>
    </row>
    <row r="124" spans="1:13" ht="17.149999999999999" customHeight="1" x14ac:dyDescent="0.35">
      <c r="A124" s="88"/>
      <c r="B124" s="164"/>
      <c r="E124" s="61"/>
      <c r="F124" s="61"/>
      <c r="G124" s="60"/>
      <c r="M124" s="146"/>
    </row>
    <row r="125" spans="1:13" ht="17.149999999999999" customHeight="1" x14ac:dyDescent="0.35">
      <c r="A125" s="88"/>
      <c r="B125" s="164"/>
      <c r="E125" s="61"/>
      <c r="F125" s="61"/>
      <c r="G125" s="60"/>
      <c r="M125" s="146"/>
    </row>
    <row r="126" spans="1:13" ht="17.149999999999999" customHeight="1" x14ac:dyDescent="0.35">
      <c r="A126" s="88"/>
      <c r="B126" s="164"/>
      <c r="E126" s="61"/>
      <c r="F126" s="61"/>
      <c r="G126" s="60"/>
      <c r="M126" s="146"/>
    </row>
    <row r="127" spans="1:13" ht="17.149999999999999" customHeight="1" x14ac:dyDescent="0.35">
      <c r="A127" s="88"/>
      <c r="B127" s="164"/>
      <c r="E127" s="61"/>
      <c r="F127" s="61"/>
      <c r="G127" s="60"/>
      <c r="M127" s="146"/>
    </row>
    <row r="128" spans="1:13" ht="17.149999999999999" customHeight="1" x14ac:dyDescent="0.35">
      <c r="A128" s="88"/>
      <c r="B128" s="164"/>
      <c r="E128" s="61"/>
      <c r="F128" s="61"/>
      <c r="G128" s="60"/>
      <c r="M128" s="146"/>
    </row>
    <row r="129" spans="1:13" ht="17.149999999999999" customHeight="1" x14ac:dyDescent="0.35">
      <c r="A129" s="88"/>
      <c r="B129" s="164"/>
      <c r="E129" s="61"/>
      <c r="F129" s="61"/>
      <c r="G129" s="60"/>
      <c r="M129" s="146"/>
    </row>
    <row r="130" spans="1:13" ht="17.149999999999999" customHeight="1" x14ac:dyDescent="0.35">
      <c r="A130" s="88"/>
      <c r="B130" s="164"/>
      <c r="E130" s="61"/>
      <c r="F130" s="61"/>
      <c r="G130" s="60"/>
      <c r="M130" s="146"/>
    </row>
    <row r="131" spans="1:13" ht="17.149999999999999" customHeight="1" x14ac:dyDescent="0.35">
      <c r="A131" s="88"/>
      <c r="B131" s="164"/>
      <c r="E131" s="61"/>
      <c r="F131" s="61"/>
      <c r="G131" s="60"/>
      <c r="M131" s="146"/>
    </row>
    <row r="132" spans="1:13" ht="17.149999999999999" customHeight="1" x14ac:dyDescent="0.35">
      <c r="A132" s="88"/>
      <c r="B132" s="164"/>
      <c r="E132" s="61"/>
      <c r="F132" s="61"/>
      <c r="G132" s="60"/>
      <c r="M132" s="146"/>
    </row>
    <row r="133" spans="1:13" ht="17.149999999999999" customHeight="1" x14ac:dyDescent="0.35">
      <c r="A133" s="88"/>
      <c r="B133" s="164"/>
      <c r="E133" s="61"/>
      <c r="F133" s="61"/>
      <c r="G133" s="60"/>
      <c r="M133" s="146"/>
    </row>
    <row r="134" spans="1:13" ht="17.149999999999999" customHeight="1" x14ac:dyDescent="0.35">
      <c r="A134" s="88"/>
      <c r="B134" s="164"/>
      <c r="E134" s="61"/>
      <c r="F134" s="61"/>
      <c r="G134" s="60"/>
      <c r="M134" s="146"/>
    </row>
    <row r="135" spans="1:13" ht="17.149999999999999" customHeight="1" x14ac:dyDescent="0.35">
      <c r="A135" s="69">
        <v>5</v>
      </c>
      <c r="B135" s="70" t="s">
        <v>279</v>
      </c>
      <c r="C135" s="71"/>
      <c r="D135" s="72"/>
      <c r="E135" s="72"/>
      <c r="F135" s="61"/>
      <c r="G135" s="60"/>
    </row>
    <row r="136" spans="1:13" ht="17.149999999999999" customHeight="1" x14ac:dyDescent="0.35">
      <c r="A136" s="61"/>
      <c r="E136" s="61"/>
      <c r="F136" s="61"/>
      <c r="G136" s="60"/>
    </row>
    <row r="137" spans="1:13" ht="17.149999999999999" customHeight="1" x14ac:dyDescent="0.35">
      <c r="A137" s="61"/>
      <c r="B137" s="73" t="s">
        <v>280</v>
      </c>
      <c r="E137" s="61"/>
      <c r="F137" s="61"/>
      <c r="G137" s="60"/>
    </row>
    <row r="138" spans="1:13" ht="17.149999999999999" customHeight="1" x14ac:dyDescent="0.35">
      <c r="A138" s="61"/>
      <c r="E138" s="61"/>
      <c r="F138" s="61"/>
      <c r="G138" s="60"/>
    </row>
    <row r="139" spans="1:13" ht="17.149999999999999" customHeight="1" x14ac:dyDescent="0.35">
      <c r="B139" s="165" t="s">
        <v>281</v>
      </c>
      <c r="C139" s="166">
        <v>2500000</v>
      </c>
      <c r="E139" s="61"/>
      <c r="F139" s="61"/>
      <c r="G139" s="60"/>
    </row>
    <row r="140" spans="1:13" ht="17.149999999999999" customHeight="1" x14ac:dyDescent="0.35">
      <c r="B140" s="165" t="s">
        <v>282</v>
      </c>
      <c r="C140" s="167">
        <v>3</v>
      </c>
      <c r="E140" s="61"/>
      <c r="F140" s="61"/>
      <c r="G140" s="60"/>
    </row>
    <row r="141" spans="1:13" ht="17.149999999999999" customHeight="1" x14ac:dyDescent="0.35">
      <c r="A141" s="61"/>
      <c r="B141" s="168" t="s">
        <v>283</v>
      </c>
      <c r="C141" s="169">
        <f>C139*C140</f>
        <v>7500000</v>
      </c>
      <c r="E141" s="61"/>
      <c r="F141" s="61"/>
      <c r="G141" s="60"/>
    </row>
    <row r="142" spans="1:13" ht="17.149999999999999" customHeight="1" x14ac:dyDescent="0.35">
      <c r="C142" s="126"/>
      <c r="E142" s="61"/>
      <c r="F142" s="61"/>
      <c r="G142" s="60"/>
    </row>
    <row r="143" spans="1:13" ht="17.149999999999999" customHeight="1" x14ac:dyDescent="0.35">
      <c r="E143" s="61"/>
      <c r="F143" s="61"/>
      <c r="G143" s="60"/>
    </row>
    <row r="144" spans="1:13" ht="17.149999999999999" customHeight="1" x14ac:dyDescent="0.35">
      <c r="G144" s="60"/>
    </row>
    <row r="145" spans="2:7" ht="17.149999999999999" customHeight="1" x14ac:dyDescent="0.35">
      <c r="G145" s="60"/>
    </row>
    <row r="146" spans="2:7" ht="17.149999999999999" customHeight="1" x14ac:dyDescent="0.35">
      <c r="G146" s="60"/>
    </row>
    <row r="147" spans="2:7" ht="17.149999999999999" customHeight="1" x14ac:dyDescent="0.35">
      <c r="G147" s="60"/>
    </row>
    <row r="148" spans="2:7" ht="17.149999999999999" customHeight="1" x14ac:dyDescent="0.35">
      <c r="G148" s="60"/>
    </row>
    <row r="149" spans="2:7" ht="17.149999999999999" customHeight="1" x14ac:dyDescent="0.35">
      <c r="G149" s="60"/>
    </row>
    <row r="150" spans="2:7" ht="17.149999999999999" customHeight="1" x14ac:dyDescent="0.35">
      <c r="G150" s="60"/>
    </row>
    <row r="151" spans="2:7" ht="17.149999999999999" customHeight="1" x14ac:dyDescent="0.35">
      <c r="G151" s="60"/>
    </row>
    <row r="152" spans="2:7" ht="17.149999999999999" customHeight="1" x14ac:dyDescent="0.35">
      <c r="G152" s="60"/>
    </row>
    <row r="153" spans="2:7" ht="17.149999999999999" customHeight="1" x14ac:dyDescent="0.35">
      <c r="G153" s="60"/>
    </row>
    <row r="154" spans="2:7" ht="17.149999999999999" customHeight="1" x14ac:dyDescent="0.35">
      <c r="G154" s="60"/>
    </row>
    <row r="155" spans="2:7" ht="17.149999999999999" customHeight="1" x14ac:dyDescent="0.35">
      <c r="G155" s="60"/>
    </row>
    <row r="156" spans="2:7" ht="17.149999999999999" customHeight="1" x14ac:dyDescent="0.35">
      <c r="G156" s="60"/>
    </row>
    <row r="157" spans="2:7" ht="17.149999999999999" customHeight="1" x14ac:dyDescent="0.35">
      <c r="G157" s="60"/>
    </row>
    <row r="158" spans="2:7" ht="17.149999999999999" customHeight="1" x14ac:dyDescent="0.35">
      <c r="G158" s="60"/>
    </row>
    <row r="160" spans="2:7" ht="17.149999999999999" customHeight="1" x14ac:dyDescent="0.35">
      <c r="B160" s="62" t="s">
        <v>284</v>
      </c>
    </row>
    <row r="161" spans="2:19" ht="17.149999999999999" customHeight="1" x14ac:dyDescent="0.35">
      <c r="B161" s="62" t="s">
        <v>285</v>
      </c>
    </row>
    <row r="168" spans="2:19" ht="17.149999999999999" customHeight="1" x14ac:dyDescent="0.35">
      <c r="C168" s="170"/>
    </row>
    <row r="169" spans="2:19" ht="17.149999999999999" customHeight="1" x14ac:dyDescent="0.35">
      <c r="C169" s="170"/>
    </row>
    <row r="172" spans="2:19" ht="17.149999999999999" customHeight="1" x14ac:dyDescent="0.35">
      <c r="C172" s="171"/>
    </row>
    <row r="173" spans="2:19" ht="17.149999999999999" customHeight="1" x14ac:dyDescent="0.35">
      <c r="C173" s="171"/>
    </row>
    <row r="174" spans="2:19" ht="17.149999999999999" customHeight="1" x14ac:dyDescent="0.35">
      <c r="C174" s="171"/>
    </row>
    <row r="175" spans="2:19" ht="17.149999999999999" customHeight="1" x14ac:dyDescent="0.35">
      <c r="C175" s="171"/>
    </row>
    <row r="176" spans="2:19" s="58" customFormat="1" ht="17.149999999999999" customHeight="1" x14ac:dyDescent="0.35">
      <c r="B176" s="62"/>
      <c r="C176" s="171"/>
      <c r="D176" s="61"/>
      <c r="E176" s="170"/>
      <c r="G176" s="61"/>
      <c r="H176" s="61"/>
      <c r="I176" s="61"/>
      <c r="J176" s="61"/>
      <c r="K176" s="61"/>
      <c r="L176" s="61"/>
      <c r="M176" s="61"/>
      <c r="N176" s="61"/>
      <c r="O176" s="61"/>
      <c r="P176" s="61"/>
      <c r="Q176" s="61"/>
      <c r="R176" s="61"/>
      <c r="S176" s="61"/>
    </row>
    <row r="178" spans="2:19" s="58" customFormat="1" ht="17.149999999999999" customHeight="1" x14ac:dyDescent="0.35">
      <c r="B178" s="62"/>
      <c r="C178" s="172"/>
      <c r="D178" s="61"/>
      <c r="G178" s="61"/>
      <c r="H178" s="61"/>
      <c r="I178" s="61"/>
      <c r="J178" s="61"/>
      <c r="K178" s="61"/>
      <c r="L178" s="61"/>
      <c r="M178" s="61"/>
      <c r="N178" s="61"/>
      <c r="O178" s="61"/>
      <c r="P178" s="61"/>
      <c r="Q178" s="61"/>
      <c r="R178" s="61"/>
      <c r="S178" s="61"/>
    </row>
    <row r="179" spans="2:19" s="58" customFormat="1" ht="17.149999999999999" customHeight="1" x14ac:dyDescent="0.35">
      <c r="B179" s="62"/>
      <c r="C179" s="173"/>
      <c r="D179" s="61"/>
      <c r="G179" s="61"/>
      <c r="H179" s="61"/>
      <c r="I179" s="61"/>
      <c r="J179" s="61"/>
      <c r="K179" s="61"/>
      <c r="L179" s="61"/>
      <c r="M179" s="61"/>
      <c r="N179" s="61"/>
      <c r="O179" s="61"/>
      <c r="P179" s="61"/>
      <c r="Q179" s="61"/>
      <c r="R179" s="61"/>
      <c r="S179" s="61"/>
    </row>
    <row r="180" spans="2:19" s="58" customFormat="1" ht="17.149999999999999" customHeight="1" x14ac:dyDescent="0.35">
      <c r="B180" s="62"/>
      <c r="C180" s="173"/>
      <c r="D180" s="61"/>
      <c r="G180" s="61"/>
      <c r="H180" s="61"/>
      <c r="I180" s="61"/>
      <c r="J180" s="61"/>
      <c r="K180" s="61"/>
      <c r="L180" s="61"/>
      <c r="M180" s="61"/>
      <c r="N180" s="61"/>
      <c r="O180" s="61"/>
      <c r="P180" s="61"/>
      <c r="Q180" s="61"/>
      <c r="R180" s="61"/>
      <c r="S180" s="61"/>
    </row>
    <row r="181" spans="2:19" s="58" customFormat="1" ht="17.149999999999999" customHeight="1" x14ac:dyDescent="0.35">
      <c r="B181" s="62"/>
      <c r="C181" s="174"/>
      <c r="D181" s="61"/>
      <c r="G181" s="61"/>
      <c r="H181" s="61"/>
      <c r="I181" s="61"/>
      <c r="J181" s="61"/>
      <c r="K181" s="61"/>
      <c r="L181" s="61"/>
      <c r="M181" s="61"/>
      <c r="N181" s="61"/>
      <c r="O181" s="61"/>
      <c r="P181" s="61"/>
      <c r="Q181" s="61"/>
      <c r="R181" s="61"/>
      <c r="S181" s="61"/>
    </row>
    <row r="182" spans="2:19" s="58" customFormat="1" ht="17.149999999999999" customHeight="1" x14ac:dyDescent="0.35">
      <c r="B182" s="62"/>
      <c r="C182" s="174"/>
      <c r="D182" s="61"/>
      <c r="G182" s="61"/>
      <c r="H182" s="61"/>
      <c r="I182" s="61"/>
      <c r="J182" s="61"/>
      <c r="K182" s="61"/>
      <c r="L182" s="61"/>
      <c r="M182" s="61"/>
      <c r="N182" s="61"/>
      <c r="O182" s="61"/>
      <c r="P182" s="61"/>
      <c r="Q182" s="61"/>
      <c r="R182" s="61"/>
      <c r="S182" s="61"/>
    </row>
    <row r="183" spans="2:19" s="58" customFormat="1" ht="17.149999999999999" customHeight="1" x14ac:dyDescent="0.35">
      <c r="B183" s="62"/>
      <c r="C183" s="174"/>
      <c r="D183" s="61"/>
      <c r="G183" s="61"/>
      <c r="H183" s="61"/>
      <c r="I183" s="61"/>
      <c r="J183" s="61"/>
      <c r="K183" s="61"/>
      <c r="L183" s="61"/>
      <c r="M183" s="61"/>
      <c r="N183" s="61"/>
      <c r="O183" s="61"/>
      <c r="P183" s="61"/>
      <c r="Q183" s="61"/>
      <c r="R183" s="61"/>
      <c r="S183" s="61"/>
    </row>
    <row r="184" spans="2:19" s="58" customFormat="1" ht="17.149999999999999" customHeight="1" x14ac:dyDescent="0.35">
      <c r="B184" s="62"/>
      <c r="C184" s="174"/>
      <c r="D184" s="61"/>
      <c r="G184" s="61"/>
      <c r="H184" s="61"/>
      <c r="I184" s="61"/>
      <c r="J184" s="61"/>
      <c r="K184" s="61"/>
      <c r="L184" s="61"/>
      <c r="M184" s="61"/>
      <c r="N184" s="61"/>
      <c r="O184" s="61"/>
      <c r="P184" s="61"/>
      <c r="Q184" s="61"/>
      <c r="R184" s="61"/>
      <c r="S184" s="61"/>
    </row>
    <row r="185" spans="2:19" s="58" customFormat="1" ht="17.149999999999999" customHeight="1" x14ac:dyDescent="0.35">
      <c r="B185" s="62"/>
      <c r="C185" s="174"/>
      <c r="D185" s="61"/>
      <c r="G185" s="61"/>
      <c r="H185" s="61"/>
      <c r="I185" s="61"/>
      <c r="J185" s="61"/>
      <c r="K185" s="61"/>
      <c r="L185" s="61"/>
      <c r="M185" s="61"/>
      <c r="N185" s="61"/>
      <c r="O185" s="61"/>
      <c r="P185" s="61"/>
      <c r="Q185" s="61"/>
      <c r="R185" s="61"/>
      <c r="S185" s="61"/>
    </row>
    <row r="186" spans="2:19" s="58" customFormat="1" ht="17.149999999999999" customHeight="1" x14ac:dyDescent="0.35">
      <c r="B186" s="62"/>
      <c r="C186" s="174"/>
      <c r="D186" s="61"/>
      <c r="G186" s="61"/>
      <c r="H186" s="61"/>
      <c r="I186" s="61"/>
      <c r="J186" s="61"/>
      <c r="K186" s="61"/>
      <c r="L186" s="61"/>
      <c r="M186" s="61"/>
      <c r="N186" s="61"/>
      <c r="O186" s="61"/>
      <c r="P186" s="61"/>
      <c r="Q186" s="61"/>
      <c r="R186" s="61"/>
      <c r="S186" s="61"/>
    </row>
    <row r="187" spans="2:19" s="58" customFormat="1" ht="17.149999999999999" customHeight="1" x14ac:dyDescent="0.35">
      <c r="B187" s="62"/>
      <c r="C187" s="174"/>
      <c r="D187" s="61"/>
      <c r="G187" s="61"/>
      <c r="H187" s="61"/>
      <c r="I187" s="61"/>
      <c r="J187" s="61"/>
      <c r="K187" s="61"/>
      <c r="L187" s="61"/>
      <c r="M187" s="61"/>
      <c r="N187" s="61"/>
      <c r="O187" s="61"/>
      <c r="P187" s="61"/>
      <c r="Q187" s="61"/>
      <c r="R187" s="61"/>
      <c r="S187" s="61"/>
    </row>
  </sheetData>
  <sheetProtection formatCells="0" formatColumns="0" formatRows="0" insertColumns="0" insertRows="0"/>
  <dataConsolidate/>
  <dataValidations count="1">
    <dataValidation type="list" allowBlank="1" showInputMessage="1" showErrorMessage="1" sqref="C56 J56 C108 J108" xr:uid="{8C90D7CC-CF6B-4E67-B408-79642065BDEF}">
      <formula1>"Yes, No"</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B115-5713-4A90-87D8-56D4D2773D28}">
  <dimension ref="A1:M54"/>
  <sheetViews>
    <sheetView showGridLines="0" workbookViewId="0">
      <pane ySplit="2" topLeftCell="A18" activePane="bottomLeft" state="frozen"/>
      <selection pane="bottomLeft"/>
    </sheetView>
  </sheetViews>
  <sheetFormatPr defaultRowHeight="14.5" x14ac:dyDescent="0.35"/>
  <cols>
    <col min="1" max="1" width="34.90625" customWidth="1"/>
    <col min="2" max="2" width="14.6328125" customWidth="1"/>
    <col min="7" max="7" width="12.08984375" customWidth="1"/>
    <col min="8" max="8" width="4.26953125" customWidth="1"/>
    <col min="9" max="9" width="3.1796875" customWidth="1"/>
    <col min="10" max="10" width="5.6328125" customWidth="1"/>
    <col min="11" max="11" width="3.36328125" customWidth="1"/>
    <col min="12" max="12" width="1.81640625" customWidth="1"/>
    <col min="13" max="13" width="31" customWidth="1"/>
    <col min="14" max="14" width="31" bestFit="1" customWidth="1"/>
  </cols>
  <sheetData>
    <row r="1" spans="1:13" ht="35.5" customHeight="1" x14ac:dyDescent="0.35">
      <c r="A1" s="287" t="s">
        <v>388</v>
      </c>
      <c r="B1" s="187"/>
      <c r="C1" s="187"/>
      <c r="D1" s="187"/>
      <c r="E1" s="187"/>
      <c r="F1" s="188"/>
      <c r="G1" s="188"/>
      <c r="H1" s="188"/>
      <c r="I1" s="188"/>
      <c r="J1" s="188"/>
      <c r="K1" s="188"/>
      <c r="L1" s="189"/>
      <c r="M1" s="222" t="s">
        <v>350</v>
      </c>
    </row>
    <row r="2" spans="1:13" ht="30" customHeight="1" x14ac:dyDescent="0.35">
      <c r="A2" s="295" t="s">
        <v>346</v>
      </c>
      <c r="B2" s="296"/>
      <c r="C2" s="296"/>
      <c r="D2" s="296"/>
      <c r="E2" s="296"/>
      <c r="F2" s="296"/>
      <c r="G2" s="296"/>
      <c r="H2" s="296"/>
      <c r="I2" s="296"/>
      <c r="J2" s="296"/>
      <c r="K2" s="296"/>
      <c r="L2" s="297"/>
      <c r="M2" s="223" t="s">
        <v>351</v>
      </c>
    </row>
    <row r="3" spans="1:13" ht="16" x14ac:dyDescent="0.35">
      <c r="A3" s="190" t="s">
        <v>9</v>
      </c>
      <c r="L3" s="191"/>
    </row>
    <row r="4" spans="1:13" ht="16" x14ac:dyDescent="0.35">
      <c r="A4" s="190" t="s">
        <v>10</v>
      </c>
      <c r="L4" s="191"/>
    </row>
    <row r="5" spans="1:13" ht="16" x14ac:dyDescent="0.35">
      <c r="A5" s="190" t="s">
        <v>11</v>
      </c>
      <c r="L5" s="191"/>
    </row>
    <row r="6" spans="1:13" ht="16" x14ac:dyDescent="0.35">
      <c r="A6" s="190" t="s">
        <v>12</v>
      </c>
      <c r="L6" s="191"/>
    </row>
    <row r="7" spans="1:13" ht="16" x14ac:dyDescent="0.35">
      <c r="A7" s="190" t="s">
        <v>13</v>
      </c>
      <c r="L7" s="191"/>
    </row>
    <row r="8" spans="1:13" ht="16" x14ac:dyDescent="0.35">
      <c r="A8" s="214" t="s">
        <v>14</v>
      </c>
      <c r="L8" s="191"/>
    </row>
    <row r="9" spans="1:13" ht="16" x14ac:dyDescent="0.35">
      <c r="A9" s="214" t="s">
        <v>15</v>
      </c>
      <c r="L9" s="191"/>
    </row>
    <row r="10" spans="1:13" ht="16" x14ac:dyDescent="0.35">
      <c r="A10" s="190" t="s">
        <v>16</v>
      </c>
      <c r="L10" s="191"/>
    </row>
    <row r="11" spans="1:13" ht="16" x14ac:dyDescent="0.35">
      <c r="A11" s="190" t="s">
        <v>17</v>
      </c>
      <c r="L11" s="191"/>
    </row>
    <row r="12" spans="1:13" ht="16" x14ac:dyDescent="0.35">
      <c r="A12" s="190" t="s">
        <v>18</v>
      </c>
      <c r="L12" s="191"/>
    </row>
    <row r="13" spans="1:13" ht="16" x14ac:dyDescent="0.35">
      <c r="A13" s="190" t="s">
        <v>19</v>
      </c>
      <c r="L13" s="191"/>
    </row>
    <row r="14" spans="1:13" ht="16" x14ac:dyDescent="0.35">
      <c r="A14" s="190" t="s">
        <v>20</v>
      </c>
      <c r="L14" s="191"/>
    </row>
    <row r="15" spans="1:13" ht="16" x14ac:dyDescent="0.35">
      <c r="A15" s="190" t="s">
        <v>21</v>
      </c>
      <c r="L15" s="191"/>
    </row>
    <row r="16" spans="1:13" x14ac:dyDescent="0.35">
      <c r="A16" s="193"/>
      <c r="L16" s="191"/>
    </row>
    <row r="17" spans="1:12" ht="15" x14ac:dyDescent="0.35">
      <c r="A17" s="292" t="s">
        <v>345</v>
      </c>
      <c r="B17" s="293"/>
      <c r="C17" s="293"/>
      <c r="D17" s="293"/>
      <c r="E17" s="293"/>
      <c r="F17" s="293"/>
      <c r="G17" s="293"/>
      <c r="H17" s="293"/>
      <c r="I17" s="293"/>
      <c r="J17" s="293"/>
      <c r="K17" s="293"/>
      <c r="L17" s="294"/>
    </row>
    <row r="18" spans="1:12" ht="16" x14ac:dyDescent="0.35">
      <c r="A18" s="194" t="s">
        <v>298</v>
      </c>
      <c r="B18" s="230">
        <f>((1+10%)/(1+6%) )-1</f>
        <v>3.7735849056603765E-2</v>
      </c>
      <c r="L18" s="191"/>
    </row>
    <row r="19" spans="1:12" ht="15" x14ac:dyDescent="0.35">
      <c r="A19" s="192"/>
      <c r="L19" s="191"/>
    </row>
    <row r="20" spans="1:12" ht="33.5" customHeight="1" x14ac:dyDescent="0.35">
      <c r="A20" s="292" t="s">
        <v>347</v>
      </c>
      <c r="B20" s="293"/>
      <c r="C20" s="293"/>
      <c r="D20" s="293"/>
      <c r="E20" s="293"/>
      <c r="F20" s="293"/>
      <c r="G20" s="293"/>
      <c r="H20" s="293"/>
      <c r="I20" s="293"/>
      <c r="J20" s="293"/>
      <c r="K20" s="293"/>
      <c r="L20" s="294"/>
    </row>
    <row r="21" spans="1:12" ht="16" x14ac:dyDescent="0.35">
      <c r="A21" s="195" t="s">
        <v>301</v>
      </c>
      <c r="B21" s="185">
        <v>47</v>
      </c>
      <c r="L21" s="191"/>
    </row>
    <row r="22" spans="1:12" ht="16" x14ac:dyDescent="0.35">
      <c r="A22" s="196" t="s">
        <v>302</v>
      </c>
      <c r="B22" s="225">
        <f>B18</f>
        <v>3.7735849056603765E-2</v>
      </c>
      <c r="L22" s="191"/>
    </row>
    <row r="23" spans="1:12" ht="16" x14ac:dyDescent="0.35">
      <c r="A23" s="196" t="s">
        <v>303</v>
      </c>
      <c r="B23" s="184">
        <f>500000*80%</f>
        <v>400000</v>
      </c>
      <c r="L23" s="191"/>
    </row>
    <row r="24" spans="1:12" ht="16" x14ac:dyDescent="0.35">
      <c r="A24" s="194" t="s">
        <v>304</v>
      </c>
      <c r="B24" s="229">
        <f>PV(B22,B21,-B23)</f>
        <v>8741231.3875936475</v>
      </c>
      <c r="L24" s="191"/>
    </row>
    <row r="25" spans="1:12" ht="15" x14ac:dyDescent="0.35">
      <c r="A25" s="192"/>
      <c r="L25" s="191"/>
    </row>
    <row r="26" spans="1:12" ht="15" x14ac:dyDescent="0.35">
      <c r="A26" s="292" t="s">
        <v>343</v>
      </c>
      <c r="B26" s="293"/>
      <c r="C26" s="293"/>
      <c r="D26" s="293"/>
      <c r="E26" s="293"/>
      <c r="F26" s="293"/>
      <c r="G26" s="293"/>
      <c r="H26" s="293"/>
      <c r="I26" s="293"/>
      <c r="J26" s="293"/>
      <c r="K26" s="293"/>
      <c r="L26" s="294"/>
    </row>
    <row r="27" spans="1:12" ht="16" x14ac:dyDescent="0.35">
      <c r="A27" s="194" t="s">
        <v>306</v>
      </c>
      <c r="B27" s="186">
        <v>0.06</v>
      </c>
      <c r="L27" s="191"/>
    </row>
    <row r="28" spans="1:12" ht="16" x14ac:dyDescent="0.35">
      <c r="A28" s="194" t="s">
        <v>305</v>
      </c>
      <c r="B28" s="183">
        <v>10</v>
      </c>
      <c r="L28" s="191"/>
    </row>
    <row r="29" spans="1:12" ht="16" x14ac:dyDescent="0.35">
      <c r="A29" s="194" t="s">
        <v>307</v>
      </c>
      <c r="B29" s="184">
        <v>2000000</v>
      </c>
      <c r="L29" s="191"/>
    </row>
    <row r="30" spans="1:12" ht="16" x14ac:dyDescent="0.35">
      <c r="A30" s="194" t="s">
        <v>308</v>
      </c>
      <c r="B30" s="229">
        <f>FV(B27,B28,,-B29)</f>
        <v>3581695.3930857093</v>
      </c>
      <c r="L30" s="191"/>
    </row>
    <row r="31" spans="1:12" ht="15" x14ac:dyDescent="0.35">
      <c r="A31" s="192"/>
      <c r="L31" s="191"/>
    </row>
    <row r="32" spans="1:12" ht="15" x14ac:dyDescent="0.35">
      <c r="A32" s="292" t="s">
        <v>342</v>
      </c>
      <c r="B32" s="293"/>
      <c r="C32" s="293"/>
      <c r="D32" s="293"/>
      <c r="E32" s="293"/>
      <c r="F32" s="293"/>
      <c r="G32" s="293"/>
      <c r="H32" s="293"/>
      <c r="I32" s="293"/>
      <c r="J32" s="293"/>
      <c r="K32" s="293"/>
      <c r="L32" s="294"/>
    </row>
    <row r="33" spans="1:12" ht="16" x14ac:dyDescent="0.35">
      <c r="A33" s="194" t="s">
        <v>306</v>
      </c>
      <c r="B33" s="186">
        <v>0.1</v>
      </c>
      <c r="L33" s="191"/>
    </row>
    <row r="34" spans="1:12" ht="16" x14ac:dyDescent="0.35">
      <c r="A34" s="194" t="s">
        <v>305</v>
      </c>
      <c r="B34" s="183">
        <v>10</v>
      </c>
      <c r="L34" s="191"/>
    </row>
    <row r="35" spans="1:12" ht="16" x14ac:dyDescent="0.35">
      <c r="A35" s="194" t="s">
        <v>309</v>
      </c>
      <c r="B35" s="216">
        <f>B30</f>
        <v>3581695.3930857093</v>
      </c>
      <c r="L35" s="191"/>
    </row>
    <row r="36" spans="1:12" ht="16" x14ac:dyDescent="0.35">
      <c r="A36" s="194" t="s">
        <v>310</v>
      </c>
      <c r="B36" s="229">
        <f>PV(B33,B34,,-B35)</f>
        <v>1380898.623584863</v>
      </c>
      <c r="L36" s="191"/>
    </row>
    <row r="37" spans="1:12" ht="15" x14ac:dyDescent="0.35">
      <c r="A37" s="192"/>
      <c r="L37" s="191"/>
    </row>
    <row r="38" spans="1:12" ht="16" x14ac:dyDescent="0.35">
      <c r="A38" s="298" t="s">
        <v>348</v>
      </c>
      <c r="B38" s="299"/>
      <c r="C38" s="299"/>
      <c r="D38" s="299"/>
      <c r="E38" s="299"/>
      <c r="F38" s="299"/>
      <c r="G38" s="299"/>
      <c r="H38" s="299"/>
      <c r="I38" s="299"/>
      <c r="J38" s="299"/>
      <c r="K38" s="299"/>
      <c r="L38" s="300"/>
    </row>
    <row r="39" spans="1:12" ht="16" x14ac:dyDescent="0.35">
      <c r="A39" s="194" t="s">
        <v>311</v>
      </c>
      <c r="B39" s="217">
        <f>B36-100000</f>
        <v>1280898.623584863</v>
      </c>
      <c r="L39" s="191"/>
    </row>
    <row r="40" spans="1:12" ht="16" x14ac:dyDescent="0.35">
      <c r="A40" s="190"/>
      <c r="L40" s="191"/>
    </row>
    <row r="41" spans="1:12" ht="15" x14ac:dyDescent="0.35">
      <c r="A41" s="292" t="s">
        <v>349</v>
      </c>
      <c r="B41" s="293"/>
      <c r="C41" s="293"/>
      <c r="D41" s="293"/>
      <c r="E41" s="293"/>
      <c r="F41" s="293"/>
      <c r="G41" s="293"/>
      <c r="H41" s="293"/>
      <c r="I41" s="293"/>
      <c r="J41" s="293"/>
      <c r="K41" s="293"/>
      <c r="L41" s="294"/>
    </row>
    <row r="42" spans="1:12" ht="15" x14ac:dyDescent="0.35">
      <c r="A42" s="292" t="s">
        <v>339</v>
      </c>
      <c r="B42" s="293"/>
      <c r="C42" s="293"/>
      <c r="D42" s="293"/>
      <c r="E42" s="293"/>
      <c r="F42" s="293"/>
      <c r="G42" s="293"/>
      <c r="H42" s="293"/>
      <c r="I42" s="293"/>
      <c r="J42" s="293"/>
      <c r="K42" s="293"/>
      <c r="L42" s="294"/>
    </row>
    <row r="43" spans="1:12" ht="16" x14ac:dyDescent="0.35">
      <c r="A43" s="197" t="s">
        <v>306</v>
      </c>
      <c r="B43" s="221">
        <f>(1+10%)/(1+6%)-1</f>
        <v>3.7735849056603765E-2</v>
      </c>
      <c r="C43" t="s">
        <v>314</v>
      </c>
      <c r="L43" s="191"/>
    </row>
    <row r="44" spans="1:12" ht="16" x14ac:dyDescent="0.35">
      <c r="A44" s="194" t="s">
        <v>305</v>
      </c>
      <c r="B44" s="183">
        <f>(60-33)</f>
        <v>27</v>
      </c>
      <c r="L44" s="191"/>
    </row>
    <row r="45" spans="1:12" ht="16" x14ac:dyDescent="0.35">
      <c r="A45" s="194" t="s">
        <v>312</v>
      </c>
      <c r="B45" s="184">
        <v>200000</v>
      </c>
      <c r="L45" s="191"/>
    </row>
    <row r="46" spans="1:12" ht="16" x14ac:dyDescent="0.35">
      <c r="A46" s="196" t="s">
        <v>313</v>
      </c>
      <c r="B46" s="229">
        <f>PV(B43,B44,-B45)</f>
        <v>3350461.8756962377</v>
      </c>
      <c r="L46" s="191"/>
    </row>
    <row r="47" spans="1:12" ht="15" x14ac:dyDescent="0.35">
      <c r="A47" s="192"/>
      <c r="L47" s="191"/>
    </row>
    <row r="48" spans="1:12" ht="15" x14ac:dyDescent="0.35">
      <c r="A48" s="292" t="s">
        <v>338</v>
      </c>
      <c r="B48" s="293"/>
      <c r="C48" s="293"/>
      <c r="D48" s="293"/>
      <c r="E48" s="293"/>
      <c r="F48" s="293"/>
      <c r="G48" s="293"/>
      <c r="H48" s="293"/>
      <c r="I48" s="293"/>
      <c r="J48" s="293"/>
      <c r="K48" s="293"/>
      <c r="L48" s="294"/>
    </row>
    <row r="49" spans="1:12" ht="16" x14ac:dyDescent="0.35">
      <c r="A49" s="194" t="s">
        <v>315</v>
      </c>
      <c r="B49" s="216">
        <f>B24</f>
        <v>8741231.3875936475</v>
      </c>
      <c r="L49" s="191"/>
    </row>
    <row r="50" spans="1:12" ht="32" x14ac:dyDescent="0.35">
      <c r="A50" s="198" t="s">
        <v>316</v>
      </c>
      <c r="B50" s="219">
        <f>B39</f>
        <v>1280898.623584863</v>
      </c>
      <c r="L50" s="191"/>
    </row>
    <row r="51" spans="1:12" ht="16" x14ac:dyDescent="0.35">
      <c r="A51" s="194" t="s">
        <v>318</v>
      </c>
      <c r="B51" s="184">
        <v>2500000</v>
      </c>
      <c r="L51" s="191"/>
    </row>
    <row r="52" spans="1:12" ht="16" x14ac:dyDescent="0.35">
      <c r="A52" s="194" t="s">
        <v>317</v>
      </c>
      <c r="B52" s="184">
        <v>3000000</v>
      </c>
      <c r="L52" s="191"/>
    </row>
    <row r="53" spans="1:12" ht="16" x14ac:dyDescent="0.35">
      <c r="A53" s="194" t="s">
        <v>319</v>
      </c>
      <c r="B53" s="216">
        <f>B46</f>
        <v>3350461.8756962377</v>
      </c>
      <c r="L53" s="191"/>
    </row>
    <row r="54" spans="1:12" ht="16.5" thickBot="1" x14ac:dyDescent="0.4">
      <c r="A54" s="199" t="s">
        <v>320</v>
      </c>
      <c r="B54" s="233">
        <f>B49+B50+B51-B52-B53</f>
        <v>6171668.1354822721</v>
      </c>
      <c r="C54" s="200"/>
      <c r="D54" s="200"/>
      <c r="E54" s="200"/>
      <c r="F54" s="200"/>
      <c r="G54" s="200"/>
      <c r="H54" s="200"/>
      <c r="I54" s="200"/>
      <c r="J54" s="200"/>
      <c r="K54" s="200"/>
      <c r="L54" s="201"/>
    </row>
  </sheetData>
  <mergeCells count="9">
    <mergeCell ref="A41:L41"/>
    <mergeCell ref="A42:L42"/>
    <mergeCell ref="A48:L48"/>
    <mergeCell ref="A20:L20"/>
    <mergeCell ref="A2:L2"/>
    <mergeCell ref="A17:L17"/>
    <mergeCell ref="A26:L26"/>
    <mergeCell ref="A32:L32"/>
    <mergeCell ref="A38:L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7628-7EEF-4F9C-B00B-1A815EE77F0C}">
  <dimension ref="A1:G14"/>
  <sheetViews>
    <sheetView showGridLines="0" zoomScaleNormal="100" workbookViewId="0">
      <pane ySplit="1" topLeftCell="A4" activePane="bottomLeft" state="frozen"/>
      <selection pane="bottomLeft" sqref="A1:D1"/>
    </sheetView>
  </sheetViews>
  <sheetFormatPr defaultRowHeight="14.5" x14ac:dyDescent="0.35"/>
  <cols>
    <col min="1" max="1" width="28.54296875" customWidth="1"/>
    <col min="2" max="2" width="20.1796875" customWidth="1"/>
    <col min="3" max="3" width="13.1796875" customWidth="1"/>
    <col min="4" max="4" width="41.1796875" customWidth="1"/>
    <col min="5" max="5" width="21.7265625" customWidth="1"/>
    <col min="6" max="6" width="35.1796875" customWidth="1"/>
  </cols>
  <sheetData>
    <row r="1" spans="1:7" s="57" customFormat="1" ht="35.5" customHeight="1" x14ac:dyDescent="0.35">
      <c r="A1" s="304" t="s">
        <v>389</v>
      </c>
      <c r="B1" s="305"/>
      <c r="C1" s="305"/>
      <c r="D1" s="306"/>
      <c r="E1" s="222" t="s">
        <v>350</v>
      </c>
      <c r="F1" s="223" t="s">
        <v>351</v>
      </c>
    </row>
    <row r="2" spans="1:7" ht="17.5" x14ac:dyDescent="0.35">
      <c r="A2" s="308" t="s">
        <v>31</v>
      </c>
      <c r="B2" s="309"/>
      <c r="C2" s="309"/>
      <c r="D2" s="310"/>
    </row>
    <row r="3" spans="1:7" ht="17.5" x14ac:dyDescent="0.35">
      <c r="A3" s="205" t="s">
        <v>32</v>
      </c>
      <c r="D3" s="191"/>
    </row>
    <row r="4" spans="1:7" ht="17.5" x14ac:dyDescent="0.35">
      <c r="A4" s="205" t="s">
        <v>33</v>
      </c>
      <c r="D4" s="191"/>
    </row>
    <row r="5" spans="1:7" ht="17.5" x14ac:dyDescent="0.35">
      <c r="A5" s="308" t="s">
        <v>34</v>
      </c>
      <c r="B5" s="309"/>
      <c r="C5" s="309"/>
      <c r="D5" s="310"/>
    </row>
    <row r="6" spans="1:7" ht="17.5" x14ac:dyDescent="0.35">
      <c r="A6" s="308" t="s">
        <v>35</v>
      </c>
      <c r="B6" s="309"/>
      <c r="C6" s="309"/>
      <c r="D6" s="310"/>
    </row>
    <row r="7" spans="1:7" ht="17.5" x14ac:dyDescent="0.35">
      <c r="A7" s="308" t="s">
        <v>36</v>
      </c>
      <c r="B7" s="309"/>
      <c r="C7" s="309"/>
      <c r="D7" s="310"/>
    </row>
    <row r="8" spans="1:7" ht="17.5" x14ac:dyDescent="0.35">
      <c r="A8" s="205"/>
      <c r="D8" s="191"/>
    </row>
    <row r="9" spans="1:7" ht="19.5" x14ac:dyDescent="0.35">
      <c r="A9" s="301" t="s">
        <v>37</v>
      </c>
      <c r="B9" s="302"/>
      <c r="C9" s="302"/>
      <c r="D9" s="303"/>
    </row>
    <row r="10" spans="1:7" ht="18.5" x14ac:dyDescent="0.45">
      <c r="A10" s="206" t="s">
        <v>321</v>
      </c>
      <c r="B10" s="204">
        <f xml:space="preserve"> 30</f>
        <v>30</v>
      </c>
      <c r="D10" s="191"/>
    </row>
    <row r="11" spans="1:7" ht="18.5" x14ac:dyDescent="0.45">
      <c r="A11" s="206" t="s">
        <v>322</v>
      </c>
      <c r="B11" s="204">
        <f>17473-9416</f>
        <v>8057</v>
      </c>
      <c r="D11" s="191"/>
    </row>
    <row r="12" spans="1:7" ht="18.5" x14ac:dyDescent="0.45">
      <c r="A12" s="206" t="s">
        <v>323</v>
      </c>
      <c r="B12" s="204">
        <v>524190</v>
      </c>
      <c r="D12" s="191"/>
    </row>
    <row r="13" spans="1:7" ht="18" thickBot="1" x14ac:dyDescent="0.4">
      <c r="A13" s="207" t="s">
        <v>324</v>
      </c>
      <c r="B13" s="226">
        <f>RATE(B10,-B11,,B12,1)</f>
        <v>4.6132792274982216E-2</v>
      </c>
      <c r="C13" s="200" t="s">
        <v>327</v>
      </c>
      <c r="D13" s="201"/>
    </row>
    <row r="14" spans="1:7" ht="67" customHeight="1" x14ac:dyDescent="0.35">
      <c r="A14" s="307" t="s">
        <v>354</v>
      </c>
      <c r="B14" s="307"/>
      <c r="C14" s="307"/>
      <c r="D14" s="307"/>
      <c r="E14" s="202"/>
      <c r="F14" s="202"/>
      <c r="G14" s="202"/>
    </row>
  </sheetData>
  <mergeCells count="7">
    <mergeCell ref="A9:D9"/>
    <mergeCell ref="A1:D1"/>
    <mergeCell ref="A14:D14"/>
    <mergeCell ref="A2:D2"/>
    <mergeCell ref="A5:D5"/>
    <mergeCell ref="A6:D6"/>
    <mergeCell ref="A7:D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4A99-D730-4E7E-8A4E-8E67265AB99B}">
  <dimension ref="A1:F14"/>
  <sheetViews>
    <sheetView showGridLines="0" workbookViewId="0">
      <pane ySplit="1" topLeftCell="A2" activePane="bottomLeft" state="frozen"/>
      <selection pane="bottomLeft" sqref="A1:D1"/>
    </sheetView>
  </sheetViews>
  <sheetFormatPr defaultRowHeight="14.5" x14ac:dyDescent="0.35"/>
  <cols>
    <col min="1" max="1" width="26.81640625" customWidth="1"/>
    <col min="2" max="2" width="17.90625" customWidth="1"/>
    <col min="3" max="3" width="26.81640625" customWidth="1"/>
    <col min="4" max="4" width="28.6328125" customWidth="1"/>
    <col min="5" max="5" width="21.90625" bestFit="1" customWidth="1"/>
    <col min="6" max="6" width="31" bestFit="1" customWidth="1"/>
  </cols>
  <sheetData>
    <row r="1" spans="1:6" s="57" customFormat="1" ht="35.5" customHeight="1" x14ac:dyDescent="0.35">
      <c r="A1" s="304" t="s">
        <v>390</v>
      </c>
      <c r="B1" s="305"/>
      <c r="C1" s="305"/>
      <c r="D1" s="306"/>
      <c r="E1" s="222" t="s">
        <v>350</v>
      </c>
      <c r="F1" s="223" t="s">
        <v>351</v>
      </c>
    </row>
    <row r="2" spans="1:6" ht="17.5" x14ac:dyDescent="0.35">
      <c r="A2" s="311" t="s">
        <v>38</v>
      </c>
      <c r="B2" s="312"/>
      <c r="C2" s="312"/>
      <c r="D2" s="313"/>
    </row>
    <row r="3" spans="1:6" ht="17.5" x14ac:dyDescent="0.35">
      <c r="A3" s="209" t="s">
        <v>39</v>
      </c>
      <c r="D3" s="191"/>
    </row>
    <row r="4" spans="1:6" ht="17.5" x14ac:dyDescent="0.35">
      <c r="A4" s="311" t="s">
        <v>40</v>
      </c>
      <c r="B4" s="312"/>
      <c r="C4" s="312"/>
      <c r="D4" s="313"/>
    </row>
    <row r="5" spans="1:6" ht="17.5" x14ac:dyDescent="0.35">
      <c r="A5" s="208" t="s">
        <v>41</v>
      </c>
      <c r="D5" s="191"/>
    </row>
    <row r="6" spans="1:6" ht="17.5" x14ac:dyDescent="0.35">
      <c r="A6" s="208" t="s">
        <v>42</v>
      </c>
      <c r="D6" s="191"/>
    </row>
    <row r="7" spans="1:6" ht="33" customHeight="1" x14ac:dyDescent="0.35">
      <c r="A7" s="314" t="s">
        <v>43</v>
      </c>
      <c r="B7" s="315"/>
      <c r="C7" s="315"/>
      <c r="D7" s="316"/>
    </row>
    <row r="8" spans="1:6" x14ac:dyDescent="0.35">
      <c r="A8" s="209"/>
      <c r="D8" s="191"/>
    </row>
    <row r="9" spans="1:6" ht="17.5" x14ac:dyDescent="0.35">
      <c r="A9" s="317" t="s">
        <v>44</v>
      </c>
      <c r="B9" s="318"/>
      <c r="C9" s="318"/>
      <c r="D9" s="319"/>
    </row>
    <row r="10" spans="1:6" ht="18.5" x14ac:dyDescent="0.4">
      <c r="A10" s="212" t="s">
        <v>325</v>
      </c>
      <c r="B10" s="213">
        <f xml:space="preserve"> 30</f>
        <v>30</v>
      </c>
      <c r="D10" s="191"/>
    </row>
    <row r="11" spans="1:6" ht="18.5" x14ac:dyDescent="0.4">
      <c r="A11" s="210" t="s">
        <v>329</v>
      </c>
      <c r="B11" s="203">
        <f>316332-9416</f>
        <v>306916</v>
      </c>
      <c r="D11" s="191"/>
    </row>
    <row r="12" spans="1:6" ht="18.5" x14ac:dyDescent="0.4">
      <c r="A12" s="210" t="s">
        <v>326</v>
      </c>
      <c r="B12" s="203">
        <v>21400000</v>
      </c>
      <c r="D12" s="191"/>
    </row>
    <row r="13" spans="1:6" ht="19" thickBot="1" x14ac:dyDescent="0.45">
      <c r="A13" s="211" t="s">
        <v>328</v>
      </c>
      <c r="B13" s="234">
        <f>RATE(B10,-B11,,B12,1)</f>
        <v>4.9972412535725333E-2</v>
      </c>
      <c r="C13" s="200" t="s">
        <v>327</v>
      </c>
      <c r="D13" s="201"/>
    </row>
    <row r="14" spans="1:6" ht="51" customHeight="1" x14ac:dyDescent="0.35">
      <c r="A14" s="320" t="s">
        <v>355</v>
      </c>
      <c r="B14" s="320"/>
      <c r="C14" s="320"/>
      <c r="D14" s="320"/>
    </row>
  </sheetData>
  <mergeCells count="6">
    <mergeCell ref="A1:D1"/>
    <mergeCell ref="A4:D4"/>
    <mergeCell ref="A7:D7"/>
    <mergeCell ref="A9:D9"/>
    <mergeCell ref="A14:D14"/>
    <mergeCell ref="A2: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A545-57D1-4385-AE2F-1767C840CFE9}">
  <dimension ref="A1:M55"/>
  <sheetViews>
    <sheetView showGridLines="0" workbookViewId="0">
      <pane ySplit="2" topLeftCell="A3" activePane="bottomLeft" state="frozen"/>
      <selection pane="bottomLeft" sqref="A1:K1"/>
    </sheetView>
  </sheetViews>
  <sheetFormatPr defaultRowHeight="14.5" x14ac:dyDescent="0.35"/>
  <cols>
    <col min="1" max="1" width="35.6328125" customWidth="1"/>
    <col min="2" max="2" width="13.90625" customWidth="1"/>
    <col min="6" max="6" width="5.36328125" customWidth="1"/>
    <col min="7" max="7" width="5.26953125" customWidth="1"/>
    <col min="8" max="8" width="4.6328125" customWidth="1"/>
    <col min="9" max="9" width="6" customWidth="1"/>
    <col min="10" max="10" width="4.6328125" customWidth="1"/>
    <col min="11" max="11" width="9.453125" customWidth="1"/>
    <col min="12" max="12" width="21.90625" bestFit="1" customWidth="1"/>
    <col min="13" max="13" width="31" bestFit="1" customWidth="1"/>
  </cols>
  <sheetData>
    <row r="1" spans="1:13" s="57" customFormat="1" ht="35.5" customHeight="1" x14ac:dyDescent="0.35">
      <c r="A1" s="304" t="s">
        <v>391</v>
      </c>
      <c r="B1" s="305"/>
      <c r="C1" s="305"/>
      <c r="D1" s="305"/>
      <c r="E1" s="305"/>
      <c r="F1" s="305"/>
      <c r="G1" s="305"/>
      <c r="H1" s="305"/>
      <c r="I1" s="305"/>
      <c r="J1" s="305"/>
      <c r="K1" s="306"/>
      <c r="L1" s="222" t="s">
        <v>350</v>
      </c>
      <c r="M1" s="223" t="s">
        <v>351</v>
      </c>
    </row>
    <row r="2" spans="1:13" ht="29.5" customHeight="1" x14ac:dyDescent="0.35">
      <c r="A2" s="295" t="s">
        <v>346</v>
      </c>
      <c r="B2" s="296"/>
      <c r="C2" s="296"/>
      <c r="D2" s="296"/>
      <c r="E2" s="296"/>
      <c r="F2" s="296"/>
      <c r="G2" s="296"/>
      <c r="H2" s="296"/>
      <c r="I2" s="296"/>
      <c r="J2" s="296"/>
      <c r="K2" s="297"/>
    </row>
    <row r="3" spans="1:13" ht="16" x14ac:dyDescent="0.35">
      <c r="A3" s="190" t="s">
        <v>9</v>
      </c>
      <c r="K3" s="191"/>
    </row>
    <row r="4" spans="1:13" ht="16" x14ac:dyDescent="0.35">
      <c r="A4" s="190" t="s">
        <v>10</v>
      </c>
      <c r="K4" s="191"/>
    </row>
    <row r="5" spans="1:13" ht="16" x14ac:dyDescent="0.35">
      <c r="A5" s="190" t="s">
        <v>11</v>
      </c>
      <c r="K5" s="191"/>
    </row>
    <row r="6" spans="1:13" ht="16" x14ac:dyDescent="0.35">
      <c r="A6" s="190" t="s">
        <v>22</v>
      </c>
      <c r="K6" s="191"/>
    </row>
    <row r="7" spans="1:13" ht="32.5" customHeight="1" x14ac:dyDescent="0.35">
      <c r="A7" s="321" t="s">
        <v>23</v>
      </c>
      <c r="B7" s="322"/>
      <c r="C7" s="322"/>
      <c r="D7" s="322"/>
      <c r="E7" s="322"/>
      <c r="F7" s="322"/>
      <c r="G7" s="322"/>
      <c r="H7" s="322"/>
      <c r="I7" s="322"/>
      <c r="J7" s="322"/>
      <c r="K7" s="323"/>
    </row>
    <row r="8" spans="1:13" ht="16" x14ac:dyDescent="0.35">
      <c r="A8" s="190" t="s">
        <v>24</v>
      </c>
      <c r="K8" s="191"/>
    </row>
    <row r="9" spans="1:13" ht="16" x14ac:dyDescent="0.35">
      <c r="A9" s="214" t="s">
        <v>14</v>
      </c>
      <c r="K9" s="191"/>
    </row>
    <row r="10" spans="1:13" ht="16" x14ac:dyDescent="0.35">
      <c r="A10" s="214" t="s">
        <v>15</v>
      </c>
      <c r="K10" s="191"/>
    </row>
    <row r="11" spans="1:13" ht="16" x14ac:dyDescent="0.35">
      <c r="A11" s="190" t="s">
        <v>25</v>
      </c>
      <c r="K11" s="191"/>
    </row>
    <row r="12" spans="1:13" ht="16" x14ac:dyDescent="0.35">
      <c r="A12" s="190" t="s">
        <v>26</v>
      </c>
      <c r="K12" s="191"/>
    </row>
    <row r="13" spans="1:13" ht="16" x14ac:dyDescent="0.35">
      <c r="A13" s="190" t="s">
        <v>27</v>
      </c>
      <c r="K13" s="191"/>
    </row>
    <row r="14" spans="1:13" ht="16" x14ac:dyDescent="0.35">
      <c r="A14" s="321" t="s">
        <v>28</v>
      </c>
      <c r="B14" s="322"/>
      <c r="C14" s="322"/>
      <c r="D14" s="322"/>
      <c r="E14" s="322"/>
      <c r="F14" s="322"/>
      <c r="G14" s="322"/>
      <c r="H14" s="322"/>
      <c r="I14" s="322"/>
      <c r="J14" s="322"/>
      <c r="K14" s="323"/>
    </row>
    <row r="15" spans="1:13" ht="16" x14ac:dyDescent="0.35">
      <c r="A15" s="190" t="s">
        <v>29</v>
      </c>
      <c r="K15" s="191"/>
    </row>
    <row r="16" spans="1:13" ht="16" x14ac:dyDescent="0.35">
      <c r="A16" s="190" t="s">
        <v>30</v>
      </c>
      <c r="K16" s="191"/>
    </row>
    <row r="17" spans="1:11" x14ac:dyDescent="0.35">
      <c r="A17" s="193"/>
      <c r="K17" s="191"/>
    </row>
    <row r="18" spans="1:11" ht="16" x14ac:dyDescent="0.35">
      <c r="A18" s="298" t="s">
        <v>345</v>
      </c>
      <c r="B18" s="299"/>
      <c r="C18" s="299"/>
      <c r="D18" s="299"/>
      <c r="E18" s="299"/>
      <c r="F18" s="299"/>
      <c r="G18" s="299"/>
      <c r="H18" s="299"/>
      <c r="I18" s="299"/>
      <c r="J18" s="299"/>
      <c r="K18" s="300"/>
    </row>
    <row r="19" spans="1:11" ht="16" x14ac:dyDescent="0.35">
      <c r="A19" s="194" t="s">
        <v>311</v>
      </c>
      <c r="B19" s="230">
        <f>(1+10%)/(1+6%)-1</f>
        <v>3.7735849056603765E-2</v>
      </c>
      <c r="C19" t="s">
        <v>314</v>
      </c>
      <c r="K19" s="191"/>
    </row>
    <row r="20" spans="1:11" ht="15" x14ac:dyDescent="0.35">
      <c r="A20" s="192"/>
      <c r="K20" s="191"/>
    </row>
    <row r="21" spans="1:11" ht="57" customHeight="1" x14ac:dyDescent="0.35">
      <c r="A21" s="292" t="s">
        <v>344</v>
      </c>
      <c r="B21" s="293"/>
      <c r="C21" s="293"/>
      <c r="D21" s="293"/>
      <c r="E21" s="293"/>
      <c r="F21" s="293"/>
      <c r="G21" s="293"/>
      <c r="H21" s="293"/>
      <c r="I21" s="293"/>
      <c r="J21" s="293"/>
      <c r="K21" s="294"/>
    </row>
    <row r="22" spans="1:11" ht="16" x14ac:dyDescent="0.35">
      <c r="A22" s="194" t="s">
        <v>305</v>
      </c>
      <c r="B22" s="183">
        <f>80-33</f>
        <v>47</v>
      </c>
      <c r="K22" s="191"/>
    </row>
    <row r="23" spans="1:11" ht="16" x14ac:dyDescent="0.35">
      <c r="A23" s="194" t="s">
        <v>306</v>
      </c>
      <c r="B23" s="225">
        <f>B19</f>
        <v>3.7735849056603765E-2</v>
      </c>
      <c r="K23" s="191"/>
    </row>
    <row r="24" spans="1:11" ht="16" x14ac:dyDescent="0.35">
      <c r="A24" s="194" t="s">
        <v>312</v>
      </c>
      <c r="B24" s="184">
        <f>(500000+200000)</f>
        <v>700000</v>
      </c>
      <c r="K24" s="191"/>
    </row>
    <row r="25" spans="1:11" ht="16" x14ac:dyDescent="0.35">
      <c r="A25" s="194" t="s">
        <v>304</v>
      </c>
      <c r="B25" s="217">
        <f>PV(B23,B22,-B24)</f>
        <v>15297154.928288881</v>
      </c>
      <c r="K25" s="191"/>
    </row>
    <row r="26" spans="1:11" ht="15" x14ac:dyDescent="0.35">
      <c r="A26" s="192"/>
      <c r="K26" s="191"/>
    </row>
    <row r="27" spans="1:11" ht="16" x14ac:dyDescent="0.35">
      <c r="A27" s="298" t="s">
        <v>343</v>
      </c>
      <c r="B27" s="299"/>
      <c r="C27" s="299"/>
      <c r="D27" s="299"/>
      <c r="E27" s="299"/>
      <c r="F27" s="299"/>
      <c r="G27" s="299"/>
      <c r="H27" s="299"/>
      <c r="I27" s="299"/>
      <c r="J27" s="299"/>
      <c r="K27" s="300"/>
    </row>
    <row r="28" spans="1:11" ht="16" x14ac:dyDescent="0.35">
      <c r="A28" s="197" t="s">
        <v>306</v>
      </c>
      <c r="B28" s="215">
        <v>0.06</v>
      </c>
      <c r="K28" s="191"/>
    </row>
    <row r="29" spans="1:11" ht="16" x14ac:dyDescent="0.35">
      <c r="A29" s="194" t="s">
        <v>299</v>
      </c>
      <c r="B29" s="183">
        <v>10</v>
      </c>
      <c r="K29" s="191"/>
    </row>
    <row r="30" spans="1:11" ht="16" x14ac:dyDescent="0.35">
      <c r="A30" s="194" t="s">
        <v>307</v>
      </c>
      <c r="B30" s="184">
        <v>2000000</v>
      </c>
      <c r="K30" s="191"/>
    </row>
    <row r="31" spans="1:11" ht="16" x14ac:dyDescent="0.35">
      <c r="A31" s="194" t="s">
        <v>330</v>
      </c>
      <c r="B31" s="229">
        <f>FV(B28,B29,,-B30)</f>
        <v>3581695.3930857093</v>
      </c>
      <c r="K31" s="191"/>
    </row>
    <row r="32" spans="1:11" ht="15" x14ac:dyDescent="0.35">
      <c r="A32" s="192"/>
      <c r="K32" s="191"/>
    </row>
    <row r="33" spans="1:11" ht="16" x14ac:dyDescent="0.35">
      <c r="A33" s="298" t="s">
        <v>342</v>
      </c>
      <c r="B33" s="299"/>
      <c r="C33" s="299"/>
      <c r="D33" s="299"/>
      <c r="E33" s="299"/>
      <c r="F33" s="299"/>
      <c r="G33" s="299"/>
      <c r="H33" s="299"/>
      <c r="I33" s="299"/>
      <c r="J33" s="299"/>
      <c r="K33" s="300"/>
    </row>
    <row r="34" spans="1:11" ht="16" x14ac:dyDescent="0.35">
      <c r="A34" s="194" t="s">
        <v>306</v>
      </c>
      <c r="B34" s="186">
        <v>0.1</v>
      </c>
      <c r="K34" s="191"/>
    </row>
    <row r="35" spans="1:11" ht="16" x14ac:dyDescent="0.35">
      <c r="A35" s="194" t="s">
        <v>305</v>
      </c>
      <c r="B35" s="183">
        <v>10</v>
      </c>
      <c r="K35" s="191"/>
    </row>
    <row r="36" spans="1:11" ht="16" x14ac:dyDescent="0.35">
      <c r="A36" s="194" t="s">
        <v>331</v>
      </c>
      <c r="B36" s="216">
        <f>B31</f>
        <v>3581695.3930857093</v>
      </c>
      <c r="K36" s="191"/>
    </row>
    <row r="37" spans="1:11" ht="16" x14ac:dyDescent="0.35">
      <c r="A37" s="194" t="s">
        <v>310</v>
      </c>
      <c r="B37" s="229">
        <f>PV(B34,B35,,-B36)</f>
        <v>1380898.623584863</v>
      </c>
      <c r="K37" s="191"/>
    </row>
    <row r="38" spans="1:11" ht="15" x14ac:dyDescent="0.35">
      <c r="A38" s="192"/>
      <c r="K38" s="191"/>
    </row>
    <row r="39" spans="1:11" ht="16" x14ac:dyDescent="0.35">
      <c r="A39" s="298" t="s">
        <v>341</v>
      </c>
      <c r="B39" s="299"/>
      <c r="C39" s="299"/>
      <c r="D39" s="299"/>
      <c r="E39" s="299"/>
      <c r="F39" s="299"/>
      <c r="G39" s="299"/>
      <c r="H39" s="299"/>
      <c r="I39" s="299"/>
      <c r="J39" s="299"/>
      <c r="K39" s="300"/>
    </row>
    <row r="40" spans="1:11" ht="16" x14ac:dyDescent="0.35">
      <c r="A40" s="194" t="s">
        <v>311</v>
      </c>
      <c r="B40" s="229">
        <f>B37-100000</f>
        <v>1280898.623584863</v>
      </c>
      <c r="K40" s="191"/>
    </row>
    <row r="41" spans="1:11" ht="16" x14ac:dyDescent="0.35">
      <c r="A41" s="190"/>
      <c r="K41" s="191"/>
    </row>
    <row r="42" spans="1:11" ht="16" x14ac:dyDescent="0.35">
      <c r="A42" s="298" t="s">
        <v>340</v>
      </c>
      <c r="B42" s="299"/>
      <c r="C42" s="299"/>
      <c r="D42" s="299"/>
      <c r="E42" s="299"/>
      <c r="F42" s="299"/>
      <c r="G42" s="299"/>
      <c r="H42" s="299"/>
      <c r="I42" s="299"/>
      <c r="J42" s="299"/>
      <c r="K42" s="300"/>
    </row>
    <row r="43" spans="1:11" ht="16" x14ac:dyDescent="0.35">
      <c r="A43" s="298" t="s">
        <v>339</v>
      </c>
      <c r="B43" s="299"/>
      <c r="C43" s="299"/>
      <c r="D43" s="299"/>
      <c r="E43" s="299"/>
      <c r="F43" s="299"/>
      <c r="G43" s="299"/>
      <c r="H43" s="299"/>
      <c r="I43" s="299"/>
      <c r="J43" s="299"/>
      <c r="K43" s="300"/>
    </row>
    <row r="44" spans="1:11" ht="16" x14ac:dyDescent="0.35">
      <c r="A44" s="197" t="s">
        <v>306</v>
      </c>
      <c r="B44" s="221">
        <f>(1+10%)/(1+6%)-1</f>
        <v>3.7735849056603765E-2</v>
      </c>
      <c r="C44" t="s">
        <v>314</v>
      </c>
      <c r="K44" s="191"/>
    </row>
    <row r="45" spans="1:11" ht="16" x14ac:dyDescent="0.35">
      <c r="A45" s="194" t="s">
        <v>305</v>
      </c>
      <c r="B45" s="183">
        <f>(60-33)</f>
        <v>27</v>
      </c>
      <c r="C45" t="s">
        <v>332</v>
      </c>
      <c r="K45" s="191"/>
    </row>
    <row r="46" spans="1:11" ht="16" x14ac:dyDescent="0.35">
      <c r="A46" s="194" t="s">
        <v>300</v>
      </c>
      <c r="B46" s="184">
        <v>200000</v>
      </c>
      <c r="K46" s="191"/>
    </row>
    <row r="47" spans="1:11" ht="16" x14ac:dyDescent="0.35">
      <c r="A47" s="196" t="s">
        <v>333</v>
      </c>
      <c r="B47" s="217">
        <f>PV(B44,B45,-B46)</f>
        <v>3350461.8756962377</v>
      </c>
      <c r="K47" s="191"/>
    </row>
    <row r="48" spans="1:11" ht="15" x14ac:dyDescent="0.35">
      <c r="A48" s="192"/>
      <c r="K48" s="191"/>
    </row>
    <row r="49" spans="1:11" ht="16" x14ac:dyDescent="0.35">
      <c r="A49" s="298" t="s">
        <v>338</v>
      </c>
      <c r="B49" s="299"/>
      <c r="C49" s="299"/>
      <c r="D49" s="299"/>
      <c r="E49" s="299"/>
      <c r="F49" s="299"/>
      <c r="G49" s="299"/>
      <c r="H49" s="299"/>
      <c r="I49" s="299"/>
      <c r="J49" s="299"/>
      <c r="K49" s="300"/>
    </row>
    <row r="50" spans="1:11" ht="16" x14ac:dyDescent="0.35">
      <c r="A50" s="197" t="s">
        <v>335</v>
      </c>
      <c r="B50" s="218">
        <f>B25</f>
        <v>15297154.928288881</v>
      </c>
      <c r="K50" s="191"/>
    </row>
    <row r="51" spans="1:11" ht="32" x14ac:dyDescent="0.35">
      <c r="A51" s="198" t="s">
        <v>336</v>
      </c>
      <c r="B51" s="219">
        <f>B40</f>
        <v>1280898.623584863</v>
      </c>
      <c r="K51" s="191"/>
    </row>
    <row r="52" spans="1:11" ht="16" x14ac:dyDescent="0.35">
      <c r="A52" s="194" t="s">
        <v>337</v>
      </c>
      <c r="B52" s="220">
        <v>2500000</v>
      </c>
      <c r="K52" s="191"/>
    </row>
    <row r="53" spans="1:11" ht="16" x14ac:dyDescent="0.35">
      <c r="A53" s="194" t="s">
        <v>317</v>
      </c>
      <c r="B53" s="220">
        <v>3000000</v>
      </c>
      <c r="K53" s="191"/>
    </row>
    <row r="54" spans="1:11" ht="16" x14ac:dyDescent="0.35">
      <c r="A54" s="194" t="s">
        <v>319</v>
      </c>
      <c r="B54" s="219">
        <f>B47</f>
        <v>3350461.8756962377</v>
      </c>
      <c r="K54" s="191"/>
    </row>
    <row r="55" spans="1:11" ht="16.5" thickBot="1" x14ac:dyDescent="0.4">
      <c r="A55" s="199" t="s">
        <v>334</v>
      </c>
      <c r="B55" s="228">
        <f>B50+B51+B52-B53-B54</f>
        <v>12727591.676177505</v>
      </c>
      <c r="C55" s="200"/>
      <c r="D55" s="200"/>
      <c r="E55" s="200"/>
      <c r="F55" s="200"/>
      <c r="G55" s="200"/>
      <c r="H55" s="200"/>
      <c r="I55" s="200"/>
      <c r="J55" s="200"/>
      <c r="K55" s="201"/>
    </row>
  </sheetData>
  <mergeCells count="12">
    <mergeCell ref="A49:K49"/>
    <mergeCell ref="A2:K2"/>
    <mergeCell ref="A21:K21"/>
    <mergeCell ref="A7:K7"/>
    <mergeCell ref="A14:K14"/>
    <mergeCell ref="A27:K27"/>
    <mergeCell ref="A18:K18"/>
    <mergeCell ref="A1:K1"/>
    <mergeCell ref="A33:K33"/>
    <mergeCell ref="A39:K39"/>
    <mergeCell ref="A42:K42"/>
    <mergeCell ref="A43:K43"/>
  </mergeCell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2D4D7-BEBC-48AC-A4B0-BAC49303FA71}">
  <dimension ref="A1:E60"/>
  <sheetViews>
    <sheetView showGridLines="0" topLeftCell="A3" workbookViewId="0"/>
  </sheetViews>
  <sheetFormatPr defaultRowHeight="20" customHeight="1" x14ac:dyDescent="0.35"/>
  <cols>
    <col min="1" max="1" width="90.81640625" style="7" customWidth="1"/>
    <col min="2" max="2" width="2.81640625" style="7" customWidth="1"/>
    <col min="3" max="5" width="18.6328125" style="7" customWidth="1"/>
    <col min="6" max="16384" width="8.7265625" style="7"/>
  </cols>
  <sheetData>
    <row r="1" spans="1:5" ht="35.5" customHeight="1" x14ac:dyDescent="0.35">
      <c r="A1" s="235" t="s">
        <v>376</v>
      </c>
      <c r="B1" s="235"/>
      <c r="C1" s="235"/>
      <c r="D1" s="235"/>
      <c r="E1" s="235"/>
    </row>
    <row r="2" spans="1:5" ht="21" customHeight="1" x14ac:dyDescent="0.35">
      <c r="A2" s="286" t="s">
        <v>377</v>
      </c>
    </row>
    <row r="3" spans="1:5" ht="79.5" customHeight="1" thickBot="1" x14ac:dyDescent="0.4">
      <c r="A3" s="324" t="s">
        <v>378</v>
      </c>
      <c r="B3" s="324"/>
      <c r="C3" s="324"/>
      <c r="D3" s="324"/>
      <c r="E3" s="324"/>
    </row>
    <row r="4" spans="1:5" ht="44" thickBot="1" x14ac:dyDescent="0.4">
      <c r="C4" s="8" t="s">
        <v>45</v>
      </c>
      <c r="D4" s="9" t="s">
        <v>46</v>
      </c>
      <c r="E4" s="9" t="s">
        <v>47</v>
      </c>
    </row>
    <row r="5" spans="1:5" ht="20" customHeight="1" thickBot="1" x14ac:dyDescent="0.4">
      <c r="A5" s="10" t="s">
        <v>48</v>
      </c>
      <c r="C5" s="11" t="s">
        <v>49</v>
      </c>
      <c r="D5" s="12">
        <v>0.24299999999999999</v>
      </c>
      <c r="E5" s="12">
        <v>0.224</v>
      </c>
    </row>
    <row r="6" spans="1:5" ht="20" customHeight="1" thickBot="1" x14ac:dyDescent="0.4">
      <c r="A6" s="7" t="s">
        <v>50</v>
      </c>
      <c r="C6" s="11" t="s">
        <v>51</v>
      </c>
      <c r="D6" s="12">
        <v>0.115</v>
      </c>
      <c r="E6" s="12">
        <v>0.10100000000000001</v>
      </c>
    </row>
    <row r="7" spans="1:5" ht="20" customHeight="1" thickBot="1" x14ac:dyDescent="0.4">
      <c r="A7" s="7" t="s">
        <v>52</v>
      </c>
      <c r="C7" s="11" t="s">
        <v>53</v>
      </c>
      <c r="D7" s="12">
        <v>0.128</v>
      </c>
      <c r="E7" s="12">
        <v>0.13800000000000001</v>
      </c>
    </row>
    <row r="8" spans="1:5" ht="20" customHeight="1" thickBot="1" x14ac:dyDescent="0.4">
      <c r="A8" s="7" t="s">
        <v>54</v>
      </c>
      <c r="C8" s="11" t="s">
        <v>55</v>
      </c>
      <c r="D8" s="12">
        <v>9.2999999999999999E-2</v>
      </c>
      <c r="E8" s="12">
        <v>0.113</v>
      </c>
    </row>
    <row r="9" spans="1:5" ht="20" customHeight="1" x14ac:dyDescent="0.35">
      <c r="A9" s="7" t="s">
        <v>56</v>
      </c>
    </row>
    <row r="10" spans="1:5" ht="20" customHeight="1" x14ac:dyDescent="0.35">
      <c r="A10" s="7" t="s">
        <v>57</v>
      </c>
      <c r="C10" s="24" t="s">
        <v>58</v>
      </c>
      <c r="D10" s="13">
        <v>100000</v>
      </c>
    </row>
    <row r="11" spans="1:5" ht="20" customHeight="1" x14ac:dyDescent="0.35">
      <c r="A11" s="7" t="s">
        <v>59</v>
      </c>
      <c r="C11" s="24" t="s">
        <v>60</v>
      </c>
      <c r="D11" s="14">
        <v>4</v>
      </c>
    </row>
    <row r="12" spans="1:5" ht="20" customHeight="1" x14ac:dyDescent="0.35">
      <c r="A12" s="7" t="s">
        <v>61</v>
      </c>
      <c r="C12" s="24" t="s">
        <v>62</v>
      </c>
      <c r="D12" s="13">
        <v>460000</v>
      </c>
    </row>
    <row r="13" spans="1:5" ht="20" customHeight="1" x14ac:dyDescent="0.35">
      <c r="A13" s="15" t="s">
        <v>63</v>
      </c>
      <c r="C13" s="180" t="s">
        <v>64</v>
      </c>
      <c r="D13" s="16">
        <f>RATE(D11,-D10,0,D12,1)</f>
        <v>5.6693681698395067E-2</v>
      </c>
    </row>
    <row r="14" spans="1:5" ht="20" customHeight="1" x14ac:dyDescent="0.35">
      <c r="A14" s="7" t="s">
        <v>65</v>
      </c>
    </row>
    <row r="15" spans="1:5" ht="20" customHeight="1" x14ac:dyDescent="0.35">
      <c r="A15" s="7" t="s">
        <v>66</v>
      </c>
      <c r="D15" s="17"/>
    </row>
    <row r="16" spans="1:5" ht="20" customHeight="1" x14ac:dyDescent="0.35">
      <c r="A16" s="7" t="s">
        <v>67</v>
      </c>
    </row>
    <row r="17" spans="1:3" ht="20" customHeight="1" x14ac:dyDescent="0.35">
      <c r="A17" s="7" t="s">
        <v>68</v>
      </c>
    </row>
    <row r="18" spans="1:3" ht="20" customHeight="1" x14ac:dyDescent="0.35">
      <c r="A18" s="7" t="s">
        <v>69</v>
      </c>
    </row>
    <row r="19" spans="1:3" ht="20" customHeight="1" x14ac:dyDescent="0.35">
      <c r="A19" s="7" t="s">
        <v>70</v>
      </c>
    </row>
    <row r="20" spans="1:3" ht="20" customHeight="1" x14ac:dyDescent="0.35">
      <c r="A20" s="15" t="s">
        <v>71</v>
      </c>
    </row>
    <row r="21" spans="1:3" ht="20" customHeight="1" x14ac:dyDescent="0.35">
      <c r="A21" s="7" t="s">
        <v>72</v>
      </c>
    </row>
    <row r="22" spans="1:3" ht="20" customHeight="1" x14ac:dyDescent="0.35">
      <c r="A22" s="7" t="s">
        <v>73</v>
      </c>
    </row>
    <row r="23" spans="1:3" ht="20" customHeight="1" x14ac:dyDescent="0.35">
      <c r="A23" s="7" t="s">
        <v>74</v>
      </c>
    </row>
    <row r="24" spans="1:3" ht="20" customHeight="1" x14ac:dyDescent="0.35">
      <c r="A24" s="7" t="s">
        <v>75</v>
      </c>
    </row>
    <row r="25" spans="1:3" ht="20" customHeight="1" x14ac:dyDescent="0.35">
      <c r="A25" s="7" t="s">
        <v>76</v>
      </c>
    </row>
    <row r="27" spans="1:3" ht="20" customHeight="1" x14ac:dyDescent="0.35">
      <c r="A27" s="39" t="s">
        <v>77</v>
      </c>
    </row>
    <row r="28" spans="1:3" ht="20" customHeight="1" x14ac:dyDescent="0.35">
      <c r="A28" s="20" t="s">
        <v>78</v>
      </c>
    </row>
    <row r="29" spans="1:3" ht="20" customHeight="1" x14ac:dyDescent="0.35">
      <c r="A29" s="19" t="s">
        <v>79</v>
      </c>
    </row>
    <row r="30" spans="1:3" ht="20" customHeight="1" x14ac:dyDescent="0.35">
      <c r="A30" s="19" t="s">
        <v>80</v>
      </c>
    </row>
    <row r="31" spans="1:3" ht="20" customHeight="1" x14ac:dyDescent="0.35">
      <c r="A31" s="19"/>
    </row>
    <row r="32" spans="1:3" ht="20" customHeight="1" x14ac:dyDescent="0.35">
      <c r="A32" s="21" t="s">
        <v>81</v>
      </c>
      <c r="B32" s="22"/>
      <c r="C32" s="23">
        <v>2025</v>
      </c>
    </row>
    <row r="33" spans="1:4" ht="20" customHeight="1" x14ac:dyDescent="0.35">
      <c r="A33" s="24" t="s">
        <v>82</v>
      </c>
      <c r="B33" s="25"/>
      <c r="C33" s="26">
        <v>1000000</v>
      </c>
    </row>
    <row r="34" spans="1:4" ht="20" customHeight="1" x14ac:dyDescent="0.35">
      <c r="A34" s="24" t="s">
        <v>58</v>
      </c>
      <c r="B34" s="25"/>
      <c r="C34" s="26">
        <f>D10</f>
        <v>100000</v>
      </c>
    </row>
    <row r="35" spans="1:4" ht="20" customHeight="1" x14ac:dyDescent="0.35">
      <c r="A35" s="24" t="s">
        <v>83</v>
      </c>
      <c r="B35" s="25"/>
      <c r="C35" s="26">
        <v>460000</v>
      </c>
    </row>
    <row r="36" spans="1:4" ht="20" customHeight="1" x14ac:dyDescent="0.35">
      <c r="A36" s="24" t="s">
        <v>84</v>
      </c>
      <c r="B36" s="27"/>
      <c r="C36" s="28">
        <f>1%*C34</f>
        <v>1000</v>
      </c>
    </row>
    <row r="37" spans="1:4" ht="20" customHeight="1" x14ac:dyDescent="0.35">
      <c r="A37" s="24" t="s">
        <v>85</v>
      </c>
      <c r="B37" s="27"/>
      <c r="C37" s="28">
        <f>400*12</f>
        <v>4800</v>
      </c>
    </row>
    <row r="38" spans="1:4" ht="20" customHeight="1" x14ac:dyDescent="0.35">
      <c r="A38" s="24" t="s">
        <v>86</v>
      </c>
      <c r="B38" s="25"/>
      <c r="C38" s="29" t="s">
        <v>87</v>
      </c>
    </row>
    <row r="39" spans="1:4" ht="20" customHeight="1" x14ac:dyDescent="0.35">
      <c r="A39" s="24" t="s">
        <v>88</v>
      </c>
      <c r="B39" s="25"/>
      <c r="C39" s="30">
        <f>100/100000*C33</f>
        <v>1000</v>
      </c>
    </row>
    <row r="40" spans="1:4" ht="20" customHeight="1" x14ac:dyDescent="0.35">
      <c r="A40" s="24" t="s">
        <v>89</v>
      </c>
      <c r="B40" s="27"/>
      <c r="C40" s="31">
        <f>SUM(C36+C37)</f>
        <v>5800</v>
      </c>
    </row>
    <row r="41" spans="1:4" ht="20" customHeight="1" x14ac:dyDescent="0.35">
      <c r="A41" s="24" t="s">
        <v>286</v>
      </c>
      <c r="B41" s="25"/>
      <c r="C41" s="32">
        <f>C40/C35</f>
        <v>1.2608695652173913E-2</v>
      </c>
    </row>
    <row r="43" spans="1:4" ht="20" customHeight="1" x14ac:dyDescent="0.35">
      <c r="A43" s="21" t="s">
        <v>90</v>
      </c>
      <c r="B43" s="22"/>
      <c r="C43" s="23">
        <v>2024</v>
      </c>
    </row>
    <row r="44" spans="1:4" ht="20" customHeight="1" x14ac:dyDescent="0.35">
      <c r="A44" s="24" t="s">
        <v>83</v>
      </c>
      <c r="B44" s="25"/>
      <c r="C44" s="26">
        <f>C35</f>
        <v>460000</v>
      </c>
    </row>
    <row r="45" spans="1:4" ht="20" customHeight="1" x14ac:dyDescent="0.35">
      <c r="A45" s="24" t="s">
        <v>91</v>
      </c>
      <c r="B45" s="25"/>
      <c r="C45" s="30">
        <f>MAX(2%*C44,5000)</f>
        <v>9200</v>
      </c>
      <c r="D45" s="34"/>
    </row>
    <row r="46" spans="1:4" ht="20" customHeight="1" x14ac:dyDescent="0.35">
      <c r="A46" s="24" t="s">
        <v>92</v>
      </c>
      <c r="B46" s="25"/>
      <c r="C46" s="35">
        <f>C44-C45</f>
        <v>450800</v>
      </c>
    </row>
    <row r="47" spans="1:4" ht="20" customHeight="1" x14ac:dyDescent="0.35">
      <c r="A47" s="24" t="s">
        <v>93</v>
      </c>
      <c r="B47" s="25"/>
      <c r="C47" s="36">
        <v>0.04</v>
      </c>
    </row>
    <row r="48" spans="1:4" ht="20" customHeight="1" x14ac:dyDescent="0.35">
      <c r="A48" s="24" t="s">
        <v>94</v>
      </c>
      <c r="B48" s="25"/>
      <c r="C48" s="37">
        <v>1</v>
      </c>
    </row>
    <row r="49" spans="1:3" ht="20" customHeight="1" x14ac:dyDescent="0.35">
      <c r="A49" s="24" t="s">
        <v>95</v>
      </c>
      <c r="B49" s="25"/>
      <c r="C49" s="38">
        <f>FV(C47,C48,0,-C46)</f>
        <v>468832</v>
      </c>
    </row>
    <row r="50" spans="1:3" ht="20" customHeight="1" x14ac:dyDescent="0.35">
      <c r="A50" s="176"/>
      <c r="C50" s="177"/>
    </row>
    <row r="51" spans="1:3" ht="20" customHeight="1" x14ac:dyDescent="0.35">
      <c r="A51" s="236" t="s">
        <v>287</v>
      </c>
    </row>
    <row r="52" spans="1:3" ht="20" customHeight="1" x14ac:dyDescent="0.35">
      <c r="A52" s="44" t="s">
        <v>356</v>
      </c>
    </row>
    <row r="53" spans="1:3" ht="20" customHeight="1" x14ac:dyDescent="0.35">
      <c r="A53" s="236" t="s">
        <v>288</v>
      </c>
    </row>
    <row r="54" spans="1:3" ht="93.5" customHeight="1" x14ac:dyDescent="0.35">
      <c r="A54" s="178" t="s">
        <v>357</v>
      </c>
    </row>
    <row r="55" spans="1:3" ht="20" customHeight="1" x14ac:dyDescent="0.35">
      <c r="A55" s="237" t="s">
        <v>289</v>
      </c>
    </row>
    <row r="56" spans="1:3" ht="33.5" customHeight="1" x14ac:dyDescent="0.35">
      <c r="A56" s="178" t="s">
        <v>358</v>
      </c>
    </row>
    <row r="57" spans="1:3" ht="20" customHeight="1" x14ac:dyDescent="0.35">
      <c r="A57" s="236" t="s">
        <v>293</v>
      </c>
    </row>
    <row r="58" spans="1:3" ht="29" x14ac:dyDescent="0.35">
      <c r="A58" s="178" t="s">
        <v>359</v>
      </c>
    </row>
    <row r="59" spans="1:3" ht="20" customHeight="1" x14ac:dyDescent="0.35">
      <c r="A59" s="179" t="s">
        <v>292</v>
      </c>
    </row>
    <row r="60" spans="1:3" ht="20" customHeight="1" x14ac:dyDescent="0.35">
      <c r="A60" s="39"/>
    </row>
  </sheetData>
  <mergeCells count="1">
    <mergeCell ref="A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9EC36-6490-4F50-BA78-CFC10B1D7C1B}">
  <dimension ref="A1:E59"/>
  <sheetViews>
    <sheetView showGridLines="0" workbookViewId="0"/>
  </sheetViews>
  <sheetFormatPr defaultRowHeight="20" customHeight="1" x14ac:dyDescent="0.35"/>
  <cols>
    <col min="1" max="1" width="91" style="18" customWidth="1"/>
    <col min="2" max="2" width="2.81640625" style="18" customWidth="1"/>
    <col min="3" max="5" width="18.6328125" style="18" customWidth="1"/>
    <col min="6" max="16384" width="8.7265625" style="18"/>
  </cols>
  <sheetData>
    <row r="1" spans="1:5" ht="35.5" customHeight="1" x14ac:dyDescent="0.35">
      <c r="A1" s="238" t="s">
        <v>379</v>
      </c>
      <c r="B1" s="238"/>
      <c r="C1" s="238"/>
      <c r="D1" s="238"/>
      <c r="E1" s="238"/>
    </row>
    <row r="2" spans="1:5" ht="19.5" customHeight="1" x14ac:dyDescent="0.35">
      <c r="A2" s="286" t="s">
        <v>377</v>
      </c>
    </row>
    <row r="3" spans="1:5" ht="122" customHeight="1" thickBot="1" x14ac:dyDescent="0.4">
      <c r="A3" s="324" t="s">
        <v>380</v>
      </c>
      <c r="B3" s="324"/>
      <c r="C3" s="324"/>
      <c r="D3" s="324"/>
      <c r="E3" s="324"/>
    </row>
    <row r="4" spans="1:5" ht="35.5" customHeight="1" thickBot="1" x14ac:dyDescent="0.4">
      <c r="A4" s="7"/>
      <c r="C4" s="239" t="s">
        <v>45</v>
      </c>
      <c r="D4" s="240" t="s">
        <v>46</v>
      </c>
      <c r="E4" s="240" t="s">
        <v>96</v>
      </c>
    </row>
    <row r="5" spans="1:5" ht="20" customHeight="1" thickBot="1" x14ac:dyDescent="0.4">
      <c r="A5" s="241" t="s">
        <v>97</v>
      </c>
      <c r="C5" s="242" t="s">
        <v>49</v>
      </c>
      <c r="D5" s="243">
        <v>0.28499999999999998</v>
      </c>
      <c r="E5" s="243">
        <v>0.29499999999999998</v>
      </c>
    </row>
    <row r="6" spans="1:5" ht="20" customHeight="1" thickBot="1" x14ac:dyDescent="0.4">
      <c r="A6" s="18" t="s">
        <v>98</v>
      </c>
      <c r="C6" s="242" t="s">
        <v>51</v>
      </c>
      <c r="D6" s="243">
        <v>0.14699999999999999</v>
      </c>
      <c r="E6" s="243">
        <v>0.12</v>
      </c>
    </row>
    <row r="7" spans="1:5" ht="20" customHeight="1" thickBot="1" x14ac:dyDescent="0.4">
      <c r="A7" s="18" t="s">
        <v>52</v>
      </c>
      <c r="C7" s="242" t="s">
        <v>53</v>
      </c>
      <c r="D7" s="243">
        <v>0.13800000000000001</v>
      </c>
      <c r="E7" s="243">
        <v>0.16700000000000001</v>
      </c>
    </row>
    <row r="8" spans="1:5" ht="20" customHeight="1" thickBot="1" x14ac:dyDescent="0.4">
      <c r="A8" s="18" t="s">
        <v>99</v>
      </c>
      <c r="C8" s="242" t="s">
        <v>55</v>
      </c>
      <c r="D8" s="243">
        <v>0.123</v>
      </c>
      <c r="E8" s="243">
        <v>0.127</v>
      </c>
    </row>
    <row r="9" spans="1:5" ht="20" customHeight="1" x14ac:dyDescent="0.35">
      <c r="A9" s="18" t="s">
        <v>100</v>
      </c>
    </row>
    <row r="10" spans="1:5" ht="20" customHeight="1" x14ac:dyDescent="0.35">
      <c r="A10" s="18" t="s">
        <v>101</v>
      </c>
    </row>
    <row r="11" spans="1:5" ht="20" customHeight="1" x14ac:dyDescent="0.35">
      <c r="A11" s="18" t="s">
        <v>102</v>
      </c>
      <c r="C11" s="33" t="s">
        <v>58</v>
      </c>
      <c r="D11" s="244">
        <v>120000</v>
      </c>
    </row>
    <row r="12" spans="1:5" ht="20" customHeight="1" x14ac:dyDescent="0.35">
      <c r="A12" s="18" t="s">
        <v>61</v>
      </c>
      <c r="C12" s="33" t="s">
        <v>60</v>
      </c>
      <c r="D12" s="245">
        <v>1</v>
      </c>
    </row>
    <row r="13" spans="1:5" ht="20" customHeight="1" x14ac:dyDescent="0.35">
      <c r="A13" s="246" t="s">
        <v>103</v>
      </c>
      <c r="C13" s="33" t="s">
        <v>62</v>
      </c>
      <c r="D13" s="244">
        <v>134000</v>
      </c>
    </row>
    <row r="14" spans="1:5" ht="20" customHeight="1" x14ac:dyDescent="0.35">
      <c r="A14" s="18" t="s">
        <v>104</v>
      </c>
      <c r="C14" s="247" t="s">
        <v>64</v>
      </c>
      <c r="D14" s="248">
        <f>RATE(D12,-D11,0,D13,1)</f>
        <v>0.11666666666666742</v>
      </c>
    </row>
    <row r="15" spans="1:5" ht="20" customHeight="1" x14ac:dyDescent="0.35">
      <c r="A15" s="18" t="s">
        <v>105</v>
      </c>
    </row>
    <row r="16" spans="1:5" ht="20" customHeight="1" x14ac:dyDescent="0.35">
      <c r="A16" s="18" t="s">
        <v>106</v>
      </c>
    </row>
    <row r="17" spans="1:4" ht="20" customHeight="1" x14ac:dyDescent="0.35">
      <c r="A17" s="18" t="s">
        <v>67</v>
      </c>
      <c r="D17" s="249"/>
    </row>
    <row r="18" spans="1:4" ht="20" customHeight="1" x14ac:dyDescent="0.35">
      <c r="A18" s="18" t="s">
        <v>69</v>
      </c>
      <c r="D18" s="250"/>
    </row>
    <row r="19" spans="1:4" ht="20" customHeight="1" x14ac:dyDescent="0.35">
      <c r="A19" s="18" t="s">
        <v>107</v>
      </c>
      <c r="D19" s="250"/>
    </row>
    <row r="20" spans="1:4" ht="20" customHeight="1" x14ac:dyDescent="0.35">
      <c r="A20" s="246" t="s">
        <v>108</v>
      </c>
      <c r="D20" s="250"/>
    </row>
    <row r="21" spans="1:4" ht="20" customHeight="1" x14ac:dyDescent="0.35">
      <c r="A21" s="18" t="s">
        <v>109</v>
      </c>
      <c r="D21" s="250"/>
    </row>
    <row r="22" spans="1:4" ht="20" customHeight="1" x14ac:dyDescent="0.35">
      <c r="A22" s="251" t="s">
        <v>110</v>
      </c>
      <c r="D22" s="252"/>
    </row>
    <row r="23" spans="1:4" ht="20" customHeight="1" x14ac:dyDescent="0.35">
      <c r="A23" s="251" t="s">
        <v>111</v>
      </c>
      <c r="D23" s="252"/>
    </row>
    <row r="24" spans="1:4" ht="20" customHeight="1" x14ac:dyDescent="0.35">
      <c r="A24" s="18" t="s">
        <v>112</v>
      </c>
      <c r="D24" s="252"/>
    </row>
    <row r="25" spans="1:4" ht="20" customHeight="1" x14ac:dyDescent="0.35">
      <c r="A25" s="18" t="s">
        <v>76</v>
      </c>
    </row>
    <row r="27" spans="1:4" ht="20" customHeight="1" x14ac:dyDescent="0.35">
      <c r="A27" s="39" t="s">
        <v>113</v>
      </c>
    </row>
    <row r="28" spans="1:4" ht="20" customHeight="1" x14ac:dyDescent="0.35">
      <c r="A28" s="18" t="s">
        <v>78</v>
      </c>
    </row>
    <row r="29" spans="1:4" ht="20" customHeight="1" x14ac:dyDescent="0.35">
      <c r="A29" s="253" t="s">
        <v>114</v>
      </c>
    </row>
    <row r="30" spans="1:4" ht="20" customHeight="1" x14ac:dyDescent="0.35">
      <c r="A30" s="253" t="s">
        <v>80</v>
      </c>
    </row>
    <row r="31" spans="1:4" ht="20" customHeight="1" x14ac:dyDescent="0.35">
      <c r="A31" s="253"/>
    </row>
    <row r="32" spans="1:4" ht="20" customHeight="1" x14ac:dyDescent="0.35">
      <c r="A32" s="254" t="s">
        <v>81</v>
      </c>
      <c r="B32" s="255"/>
      <c r="C32" s="256">
        <v>2025</v>
      </c>
    </row>
    <row r="33" spans="1:3" ht="20" customHeight="1" x14ac:dyDescent="0.35">
      <c r="A33" s="33" t="s">
        <v>82</v>
      </c>
      <c r="B33" s="257"/>
      <c r="C33" s="258">
        <v>1200000</v>
      </c>
    </row>
    <row r="34" spans="1:3" ht="20" customHeight="1" x14ac:dyDescent="0.35">
      <c r="A34" s="33" t="s">
        <v>58</v>
      </c>
      <c r="B34" s="257"/>
      <c r="C34" s="258">
        <f>D11</f>
        <v>120000</v>
      </c>
    </row>
    <row r="35" spans="1:3" ht="20" customHeight="1" x14ac:dyDescent="0.35">
      <c r="A35" s="33" t="s">
        <v>83</v>
      </c>
      <c r="B35" s="257"/>
      <c r="C35" s="258">
        <v>134000</v>
      </c>
    </row>
    <row r="36" spans="1:3" ht="20" customHeight="1" x14ac:dyDescent="0.35">
      <c r="A36" s="33" t="s">
        <v>115</v>
      </c>
      <c r="B36" s="259"/>
      <c r="C36" s="260">
        <f>1.5%*C34</f>
        <v>1800</v>
      </c>
    </row>
    <row r="37" spans="1:3" ht="20" customHeight="1" x14ac:dyDescent="0.35">
      <c r="A37" s="33" t="s">
        <v>116</v>
      </c>
      <c r="B37" s="259"/>
      <c r="C37" s="260">
        <f>500*12</f>
        <v>6000</v>
      </c>
    </row>
    <row r="38" spans="1:3" ht="20" customHeight="1" x14ac:dyDescent="0.35">
      <c r="A38" s="33" t="s">
        <v>117</v>
      </c>
      <c r="B38" s="257"/>
      <c r="C38" s="261" t="s">
        <v>87</v>
      </c>
    </row>
    <row r="39" spans="1:3" ht="20" customHeight="1" x14ac:dyDescent="0.35">
      <c r="A39" s="33" t="s">
        <v>118</v>
      </c>
      <c r="B39" s="257"/>
      <c r="C39" s="262">
        <f>90/100000*C33</f>
        <v>1080</v>
      </c>
    </row>
    <row r="40" spans="1:3" ht="20" customHeight="1" x14ac:dyDescent="0.35">
      <c r="A40" s="33" t="s">
        <v>119</v>
      </c>
      <c r="B40" s="259"/>
      <c r="C40" s="263">
        <f>SUM(C36+C37)</f>
        <v>7800</v>
      </c>
    </row>
    <row r="41" spans="1:3" ht="20" customHeight="1" x14ac:dyDescent="0.35">
      <c r="A41" s="33" t="s">
        <v>290</v>
      </c>
      <c r="B41" s="257"/>
      <c r="C41" s="264">
        <f>C40/C35</f>
        <v>5.8208955223880594E-2</v>
      </c>
    </row>
    <row r="43" spans="1:3" ht="20" customHeight="1" x14ac:dyDescent="0.35">
      <c r="A43" s="254" t="s">
        <v>90</v>
      </c>
      <c r="B43" s="255"/>
      <c r="C43" s="256">
        <v>2024</v>
      </c>
    </row>
    <row r="44" spans="1:3" ht="20" customHeight="1" x14ac:dyDescent="0.35">
      <c r="A44" s="33" t="s">
        <v>83</v>
      </c>
      <c r="B44" s="257"/>
      <c r="C44" s="258">
        <f>C35</f>
        <v>134000</v>
      </c>
    </row>
    <row r="45" spans="1:3" ht="20" customHeight="1" x14ac:dyDescent="0.35">
      <c r="A45" s="33" t="s">
        <v>91</v>
      </c>
      <c r="B45" s="257"/>
      <c r="C45" s="262">
        <f>MAX(2%*C44,5000)</f>
        <v>5000</v>
      </c>
    </row>
    <row r="46" spans="1:3" ht="20" customHeight="1" x14ac:dyDescent="0.35">
      <c r="A46" s="33" t="s">
        <v>92</v>
      </c>
      <c r="B46" s="257"/>
      <c r="C46" s="265">
        <f>C44-C45</f>
        <v>129000</v>
      </c>
    </row>
    <row r="47" spans="1:3" ht="20" customHeight="1" x14ac:dyDescent="0.35">
      <c r="A47" s="33" t="s">
        <v>93</v>
      </c>
      <c r="B47" s="257"/>
      <c r="C47" s="266">
        <v>0.04</v>
      </c>
    </row>
    <row r="48" spans="1:3" ht="20" customHeight="1" x14ac:dyDescent="0.35">
      <c r="A48" s="33" t="s">
        <v>94</v>
      </c>
      <c r="B48" s="257"/>
      <c r="C48" s="267">
        <v>4</v>
      </c>
    </row>
    <row r="49" spans="1:3" ht="20" customHeight="1" x14ac:dyDescent="0.35">
      <c r="A49" s="33" t="s">
        <v>95</v>
      </c>
      <c r="B49" s="257"/>
      <c r="C49" s="268">
        <f>FV(C47,C48,0,-C46)</f>
        <v>150911.75424000004</v>
      </c>
    </row>
    <row r="51" spans="1:3" ht="20" customHeight="1" x14ac:dyDescent="0.35">
      <c r="A51" s="269" t="s">
        <v>287</v>
      </c>
    </row>
    <row r="52" spans="1:3" ht="20" customHeight="1" x14ac:dyDescent="0.35">
      <c r="A52" s="270" t="s">
        <v>360</v>
      </c>
    </row>
    <row r="53" spans="1:3" ht="20" customHeight="1" x14ac:dyDescent="0.35">
      <c r="A53" s="269" t="s">
        <v>288</v>
      </c>
    </row>
    <row r="54" spans="1:3" ht="72.5" x14ac:dyDescent="0.35">
      <c r="A54" s="271" t="s">
        <v>361</v>
      </c>
    </row>
    <row r="55" spans="1:3" ht="20" customHeight="1" x14ac:dyDescent="0.35">
      <c r="A55" s="272" t="s">
        <v>289</v>
      </c>
    </row>
    <row r="56" spans="1:3" ht="29" x14ac:dyDescent="0.35">
      <c r="A56" s="271" t="s">
        <v>358</v>
      </c>
    </row>
    <row r="57" spans="1:3" ht="20" customHeight="1" x14ac:dyDescent="0.35">
      <c r="A57" s="269" t="s">
        <v>293</v>
      </c>
    </row>
    <row r="58" spans="1:3" ht="29" x14ac:dyDescent="0.35">
      <c r="A58" s="271" t="s">
        <v>362</v>
      </c>
    </row>
    <row r="59" spans="1:3" ht="20" customHeight="1" x14ac:dyDescent="0.35">
      <c r="A59" s="273" t="s">
        <v>292</v>
      </c>
    </row>
  </sheetData>
  <mergeCells count="1">
    <mergeCell ref="A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F4739-C9CB-48FE-B9E5-F631660B377C}">
  <dimension ref="A1:E52"/>
  <sheetViews>
    <sheetView showGridLines="0" workbookViewId="0"/>
  </sheetViews>
  <sheetFormatPr defaultRowHeight="20" customHeight="1" x14ac:dyDescent="0.35"/>
  <cols>
    <col min="1" max="1" width="90.81640625" style="7" customWidth="1"/>
    <col min="2" max="2" width="3.08984375" style="7" customWidth="1"/>
    <col min="3" max="5" width="18.6328125" style="7" customWidth="1"/>
    <col min="6" max="16384" width="8.7265625" style="7"/>
  </cols>
  <sheetData>
    <row r="1" spans="1:5" ht="35.5" customHeight="1" x14ac:dyDescent="0.35">
      <c r="A1" s="235" t="s">
        <v>381</v>
      </c>
      <c r="B1" s="235"/>
      <c r="C1" s="235"/>
      <c r="D1" s="235"/>
      <c r="E1" s="235"/>
    </row>
    <row r="2" spans="1:5" ht="21.5" customHeight="1" x14ac:dyDescent="0.35">
      <c r="A2" s="286" t="s">
        <v>377</v>
      </c>
    </row>
    <row r="3" spans="1:5" ht="166.5" customHeight="1" thickBot="1" x14ac:dyDescent="0.4">
      <c r="A3" s="324" t="s">
        <v>382</v>
      </c>
      <c r="B3" s="324"/>
      <c r="C3" s="324"/>
      <c r="D3" s="324"/>
      <c r="E3" s="324"/>
    </row>
    <row r="4" spans="1:5" ht="35.5" customHeight="1" thickBot="1" x14ac:dyDescent="0.4">
      <c r="C4" s="8" t="s">
        <v>45</v>
      </c>
      <c r="D4" s="9" t="s">
        <v>46</v>
      </c>
      <c r="E4" s="9" t="s">
        <v>96</v>
      </c>
    </row>
    <row r="5" spans="1:5" ht="20" customHeight="1" thickBot="1" x14ac:dyDescent="0.4">
      <c r="A5" s="10" t="s">
        <v>120</v>
      </c>
      <c r="C5" s="11" t="s">
        <v>49</v>
      </c>
      <c r="D5" s="12">
        <v>0.32200000000000001</v>
      </c>
      <c r="E5" s="12">
        <v>0.29499999999999998</v>
      </c>
    </row>
    <row r="6" spans="1:5" ht="20" customHeight="1" thickBot="1" x14ac:dyDescent="0.4">
      <c r="A6" s="7" t="s">
        <v>121</v>
      </c>
      <c r="C6" s="11" t="s">
        <v>51</v>
      </c>
      <c r="D6" s="12">
        <v>0.105</v>
      </c>
      <c r="E6" s="12">
        <v>0.12</v>
      </c>
    </row>
    <row r="7" spans="1:5" ht="20" customHeight="1" thickBot="1" x14ac:dyDescent="0.4">
      <c r="A7" s="7" t="s">
        <v>52</v>
      </c>
      <c r="C7" s="11" t="s">
        <v>53</v>
      </c>
      <c r="D7" s="12">
        <v>0.158</v>
      </c>
      <c r="E7" s="12">
        <v>0.16700000000000001</v>
      </c>
    </row>
    <row r="8" spans="1:5" ht="20" customHeight="1" thickBot="1" x14ac:dyDescent="0.4">
      <c r="A8" s="7" t="s">
        <v>122</v>
      </c>
      <c r="C8" s="11" t="s">
        <v>55</v>
      </c>
      <c r="D8" s="12">
        <v>0.121</v>
      </c>
      <c r="E8" s="12">
        <v>0.127</v>
      </c>
    </row>
    <row r="9" spans="1:5" ht="20" customHeight="1" x14ac:dyDescent="0.35">
      <c r="A9" s="7" t="s">
        <v>123</v>
      </c>
    </row>
    <row r="10" spans="1:5" ht="20" customHeight="1" x14ac:dyDescent="0.35">
      <c r="A10" s="7" t="s">
        <v>124</v>
      </c>
    </row>
    <row r="11" spans="1:5" ht="20" customHeight="1" x14ac:dyDescent="0.35">
      <c r="A11" s="7" t="s">
        <v>125</v>
      </c>
      <c r="C11" s="24" t="s">
        <v>58</v>
      </c>
      <c r="D11" s="13">
        <v>300000</v>
      </c>
    </row>
    <row r="12" spans="1:5" ht="20" customHeight="1" x14ac:dyDescent="0.35">
      <c r="A12" s="7" t="s">
        <v>126</v>
      </c>
      <c r="C12" s="24" t="s">
        <v>60</v>
      </c>
      <c r="D12" s="14">
        <v>7</v>
      </c>
    </row>
    <row r="13" spans="1:5" ht="20" customHeight="1" x14ac:dyDescent="0.35">
      <c r="A13" s="7" t="s">
        <v>61</v>
      </c>
      <c r="C13" s="24" t="s">
        <v>62</v>
      </c>
      <c r="D13" s="13">
        <v>3200000</v>
      </c>
    </row>
    <row r="14" spans="1:5" ht="20" customHeight="1" x14ac:dyDescent="0.35">
      <c r="A14" s="7" t="s">
        <v>127</v>
      </c>
      <c r="C14" s="180" t="s">
        <v>64</v>
      </c>
      <c r="D14" s="16">
        <f>RATE(D12,-D11,0,D13,1)</f>
        <v>0.10549672969008231</v>
      </c>
    </row>
    <row r="15" spans="1:5" ht="20" customHeight="1" x14ac:dyDescent="0.35">
      <c r="A15" s="15" t="s">
        <v>128</v>
      </c>
    </row>
    <row r="16" spans="1:5" ht="20" customHeight="1" x14ac:dyDescent="0.35">
      <c r="A16" s="7" t="s">
        <v>129</v>
      </c>
    </row>
    <row r="17" spans="1:4" ht="20" customHeight="1" x14ac:dyDescent="0.35">
      <c r="A17" s="7" t="s">
        <v>67</v>
      </c>
    </row>
    <row r="18" spans="1:4" ht="20" customHeight="1" x14ac:dyDescent="0.35">
      <c r="A18" s="7" t="s">
        <v>130</v>
      </c>
      <c r="D18" s="34"/>
    </row>
    <row r="19" spans="1:4" ht="20" customHeight="1" x14ac:dyDescent="0.35">
      <c r="A19" s="7" t="s">
        <v>131</v>
      </c>
      <c r="D19" s="34"/>
    </row>
    <row r="20" spans="1:4" ht="20" customHeight="1" x14ac:dyDescent="0.35">
      <c r="A20" s="15" t="s">
        <v>132</v>
      </c>
      <c r="D20" s="34"/>
    </row>
    <row r="21" spans="1:4" ht="20" customHeight="1" x14ac:dyDescent="0.35">
      <c r="A21" s="7" t="s">
        <v>72</v>
      </c>
      <c r="D21" s="34"/>
    </row>
    <row r="22" spans="1:4" ht="20" customHeight="1" x14ac:dyDescent="0.35">
      <c r="A22" s="20" t="s">
        <v>133</v>
      </c>
      <c r="D22" s="40"/>
    </row>
    <row r="23" spans="1:4" ht="20" customHeight="1" x14ac:dyDescent="0.35">
      <c r="A23" s="20" t="s">
        <v>74</v>
      </c>
      <c r="D23" s="40"/>
    </row>
    <row r="24" spans="1:4" ht="20" customHeight="1" x14ac:dyDescent="0.35">
      <c r="A24" s="7" t="s">
        <v>134</v>
      </c>
      <c r="D24" s="40"/>
    </row>
    <row r="25" spans="1:4" ht="20" customHeight="1" x14ac:dyDescent="0.35">
      <c r="A25" s="7" t="s">
        <v>135</v>
      </c>
    </row>
    <row r="26" spans="1:4" ht="20" customHeight="1" x14ac:dyDescent="0.35">
      <c r="A26" s="7" t="s">
        <v>76</v>
      </c>
    </row>
    <row r="28" spans="1:4" ht="20" customHeight="1" x14ac:dyDescent="0.35">
      <c r="A28" s="39" t="s">
        <v>136</v>
      </c>
    </row>
    <row r="29" spans="1:4" ht="20" customHeight="1" x14ac:dyDescent="0.35">
      <c r="A29" s="7" t="s">
        <v>137</v>
      </c>
    </row>
    <row r="30" spans="1:4" ht="20" customHeight="1" x14ac:dyDescent="0.35">
      <c r="A30" s="7" t="s">
        <v>138</v>
      </c>
    </row>
    <row r="31" spans="1:4" ht="20" customHeight="1" x14ac:dyDescent="0.35">
      <c r="A31" s="7" t="s">
        <v>80</v>
      </c>
    </row>
    <row r="33" spans="1:3" ht="20" customHeight="1" x14ac:dyDescent="0.35">
      <c r="A33" s="21" t="s">
        <v>81</v>
      </c>
      <c r="B33" s="22"/>
      <c r="C33" s="23">
        <v>2025</v>
      </c>
    </row>
    <row r="34" spans="1:3" ht="20" customHeight="1" x14ac:dyDescent="0.35">
      <c r="A34" s="24" t="s">
        <v>82</v>
      </c>
      <c r="B34" s="25"/>
      <c r="C34" s="26">
        <v>3000000</v>
      </c>
    </row>
    <row r="35" spans="1:3" ht="20" customHeight="1" x14ac:dyDescent="0.35">
      <c r="A35" s="24" t="s">
        <v>58</v>
      </c>
      <c r="B35" s="25"/>
      <c r="C35" s="26">
        <f>D11</f>
        <v>300000</v>
      </c>
    </row>
    <row r="36" spans="1:3" ht="20" customHeight="1" x14ac:dyDescent="0.35">
      <c r="A36" s="24" t="s">
        <v>83</v>
      </c>
      <c r="B36" s="25"/>
      <c r="C36" s="26">
        <v>3200000</v>
      </c>
    </row>
    <row r="37" spans="1:3" ht="20" customHeight="1" x14ac:dyDescent="0.35">
      <c r="A37" s="24" t="s">
        <v>84</v>
      </c>
      <c r="B37" s="27"/>
      <c r="C37" s="28">
        <f>1%*C35</f>
        <v>3000</v>
      </c>
    </row>
    <row r="38" spans="1:3" ht="20" customHeight="1" x14ac:dyDescent="0.35">
      <c r="A38" s="24" t="s">
        <v>139</v>
      </c>
      <c r="B38" s="27"/>
      <c r="C38" s="28">
        <f>600*12</f>
        <v>7200</v>
      </c>
    </row>
    <row r="39" spans="1:3" ht="20" customHeight="1" x14ac:dyDescent="0.35">
      <c r="A39" s="24" t="s">
        <v>86</v>
      </c>
      <c r="B39" s="25"/>
      <c r="C39" s="29" t="s">
        <v>87</v>
      </c>
    </row>
    <row r="40" spans="1:3" ht="20" customHeight="1" x14ac:dyDescent="0.35">
      <c r="A40" s="24" t="s">
        <v>140</v>
      </c>
      <c r="B40" s="25"/>
      <c r="C40" s="30">
        <f>200/100000*C34</f>
        <v>6000</v>
      </c>
    </row>
    <row r="41" spans="1:3" ht="20" customHeight="1" x14ac:dyDescent="0.35">
      <c r="A41" s="24" t="s">
        <v>89</v>
      </c>
      <c r="B41" s="27"/>
      <c r="C41" s="31">
        <f>SUM(C37+C38)</f>
        <v>10200</v>
      </c>
    </row>
    <row r="42" spans="1:3" ht="20" customHeight="1" x14ac:dyDescent="0.35">
      <c r="A42" s="24" t="s">
        <v>290</v>
      </c>
      <c r="B42" s="25"/>
      <c r="C42" s="32">
        <f>C41/C36</f>
        <v>3.1874999999999998E-3</v>
      </c>
    </row>
    <row r="44" spans="1:3" ht="20" customHeight="1" x14ac:dyDescent="0.35">
      <c r="A44" s="21" t="s">
        <v>90</v>
      </c>
      <c r="B44" s="22"/>
      <c r="C44" s="23">
        <v>2024</v>
      </c>
    </row>
    <row r="45" spans="1:3" ht="20" customHeight="1" x14ac:dyDescent="0.35">
      <c r="A45" s="24" t="s">
        <v>141</v>
      </c>
      <c r="B45" s="25"/>
      <c r="C45" s="26">
        <f>C36</f>
        <v>3200000</v>
      </c>
    </row>
    <row r="46" spans="1:3" ht="20" customHeight="1" x14ac:dyDescent="0.35">
      <c r="A46" s="175"/>
    </row>
    <row r="48" spans="1:3" ht="20" customHeight="1" x14ac:dyDescent="0.35">
      <c r="A48" s="236" t="s">
        <v>287</v>
      </c>
    </row>
    <row r="49" spans="1:1" ht="43.5" x14ac:dyDescent="0.35">
      <c r="A49" s="178" t="s">
        <v>363</v>
      </c>
    </row>
    <row r="50" spans="1:1" ht="20" customHeight="1" x14ac:dyDescent="0.35">
      <c r="A50" s="274" t="s">
        <v>288</v>
      </c>
    </row>
    <row r="51" spans="1:1" ht="43.5" x14ac:dyDescent="0.35">
      <c r="A51" s="178" t="s">
        <v>364</v>
      </c>
    </row>
    <row r="52" spans="1:1" ht="20" customHeight="1" x14ac:dyDescent="0.35">
      <c r="A52" s="179" t="s">
        <v>292</v>
      </c>
    </row>
  </sheetData>
  <mergeCells count="1">
    <mergeCell ref="A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02A13-BC8B-4FC3-BF89-14C7835483E2}">
  <dimension ref="A1:I52"/>
  <sheetViews>
    <sheetView showGridLines="0" workbookViewId="0"/>
  </sheetViews>
  <sheetFormatPr defaultRowHeight="20" customHeight="1" x14ac:dyDescent="0.35"/>
  <cols>
    <col min="1" max="1" width="66.453125" style="7" customWidth="1"/>
    <col min="2" max="2" width="7.26953125" style="7" customWidth="1"/>
    <col min="3" max="12" width="13.6328125" style="7" customWidth="1"/>
    <col min="13" max="23" width="18.6328125" style="7" customWidth="1"/>
    <col min="24" max="16384" width="8.7265625" style="7"/>
  </cols>
  <sheetData>
    <row r="1" spans="1:9" ht="35.5" customHeight="1" x14ac:dyDescent="0.35">
      <c r="A1" s="235" t="s">
        <v>383</v>
      </c>
      <c r="B1" s="235"/>
      <c r="C1" s="235"/>
      <c r="D1" s="235"/>
      <c r="E1" s="235"/>
      <c r="F1" s="235"/>
    </row>
    <row r="2" spans="1:9" ht="21" customHeight="1" x14ac:dyDescent="0.35">
      <c r="A2" s="286" t="s">
        <v>377</v>
      </c>
    </row>
    <row r="3" spans="1:9" ht="136.5" customHeight="1" x14ac:dyDescent="0.35">
      <c r="A3" s="324" t="s">
        <v>384</v>
      </c>
      <c r="B3" s="324"/>
      <c r="C3" s="324"/>
      <c r="D3" s="324"/>
      <c r="E3" s="324"/>
      <c r="F3" s="324"/>
    </row>
    <row r="4" spans="1:9" ht="35.5" customHeight="1" x14ac:dyDescent="0.35"/>
    <row r="5" spans="1:9" ht="20" customHeight="1" x14ac:dyDescent="0.35">
      <c r="A5" s="10" t="s">
        <v>142</v>
      </c>
      <c r="C5" s="325" t="s">
        <v>143</v>
      </c>
      <c r="D5" s="326"/>
      <c r="E5" s="326"/>
      <c r="F5" s="326" t="s">
        <v>144</v>
      </c>
      <c r="G5" s="326"/>
      <c r="H5" s="326"/>
      <c r="I5" s="227" t="s">
        <v>291</v>
      </c>
    </row>
    <row r="6" spans="1:9" ht="20" customHeight="1" x14ac:dyDescent="0.35">
      <c r="A6" s="7" t="s">
        <v>145</v>
      </c>
      <c r="C6" s="48" t="s">
        <v>60</v>
      </c>
      <c r="D6" s="48" t="s">
        <v>146</v>
      </c>
      <c r="E6" s="49" t="s">
        <v>58</v>
      </c>
      <c r="F6" s="48" t="s">
        <v>60</v>
      </c>
      <c r="G6" s="48" t="s">
        <v>146</v>
      </c>
      <c r="H6" s="49" t="s">
        <v>147</v>
      </c>
      <c r="I6" s="49" t="s">
        <v>147</v>
      </c>
    </row>
    <row r="7" spans="1:9" ht="20" customHeight="1" x14ac:dyDescent="0.35">
      <c r="A7" s="7" t="s">
        <v>148</v>
      </c>
      <c r="C7" s="50">
        <v>1</v>
      </c>
      <c r="D7" s="51">
        <v>39722</v>
      </c>
      <c r="E7" s="52">
        <v>-25000</v>
      </c>
      <c r="F7" s="50">
        <v>0</v>
      </c>
      <c r="G7" s="51">
        <v>45597</v>
      </c>
      <c r="H7" s="52">
        <v>-450000</v>
      </c>
      <c r="I7" s="52">
        <v>-450000</v>
      </c>
    </row>
    <row r="8" spans="1:9" ht="20" customHeight="1" x14ac:dyDescent="0.35">
      <c r="A8" s="7" t="s">
        <v>149</v>
      </c>
      <c r="C8" s="50">
        <v>2</v>
      </c>
      <c r="D8" s="51">
        <v>40087</v>
      </c>
      <c r="E8" s="52">
        <f>E7</f>
        <v>-25000</v>
      </c>
      <c r="F8" s="50">
        <v>1</v>
      </c>
      <c r="G8" s="51">
        <f>D24</f>
        <v>45931</v>
      </c>
      <c r="H8" s="52">
        <f>E24</f>
        <v>-25000</v>
      </c>
      <c r="I8" s="52">
        <v>0</v>
      </c>
    </row>
    <row r="9" spans="1:9" ht="20" customHeight="1" x14ac:dyDescent="0.35">
      <c r="A9" s="7" t="s">
        <v>150</v>
      </c>
      <c r="C9" s="50">
        <v>3</v>
      </c>
      <c r="D9" s="51">
        <v>40452</v>
      </c>
      <c r="E9" s="52">
        <f t="shared" ref="E9:E27" si="0">E8</f>
        <v>-25000</v>
      </c>
      <c r="F9" s="50">
        <v>2</v>
      </c>
      <c r="G9" s="51">
        <f t="shared" ref="G9:H12" si="1">D25</f>
        <v>46296</v>
      </c>
      <c r="H9" s="52">
        <f t="shared" si="1"/>
        <v>-25000</v>
      </c>
      <c r="I9" s="52">
        <v>0</v>
      </c>
    </row>
    <row r="10" spans="1:9" ht="20" customHeight="1" x14ac:dyDescent="0.35">
      <c r="A10" s="7" t="s">
        <v>151</v>
      </c>
      <c r="C10" s="50">
        <v>4</v>
      </c>
      <c r="D10" s="51">
        <v>40817</v>
      </c>
      <c r="E10" s="52">
        <f t="shared" si="0"/>
        <v>-25000</v>
      </c>
      <c r="F10" s="50">
        <v>3</v>
      </c>
      <c r="G10" s="51">
        <f t="shared" si="1"/>
        <v>46661</v>
      </c>
      <c r="H10" s="52">
        <f t="shared" si="1"/>
        <v>-25000</v>
      </c>
      <c r="I10" s="52">
        <v>0</v>
      </c>
    </row>
    <row r="11" spans="1:9" ht="20" customHeight="1" x14ac:dyDescent="0.35">
      <c r="A11" s="7" t="s">
        <v>152</v>
      </c>
      <c r="C11" s="50">
        <v>5</v>
      </c>
      <c r="D11" s="51">
        <v>41183</v>
      </c>
      <c r="E11" s="52">
        <f t="shared" si="0"/>
        <v>-25000</v>
      </c>
      <c r="F11" s="50">
        <v>4</v>
      </c>
      <c r="G11" s="51">
        <f t="shared" si="1"/>
        <v>47027</v>
      </c>
      <c r="H11" s="52">
        <f t="shared" si="1"/>
        <v>-25000</v>
      </c>
      <c r="I11" s="52">
        <v>0</v>
      </c>
    </row>
    <row r="12" spans="1:9" ht="20" customHeight="1" x14ac:dyDescent="0.35">
      <c r="A12" s="7" t="s">
        <v>153</v>
      </c>
      <c r="C12" s="50">
        <v>6</v>
      </c>
      <c r="D12" s="51">
        <v>41548</v>
      </c>
      <c r="E12" s="52">
        <f t="shared" si="0"/>
        <v>-25000</v>
      </c>
      <c r="F12" s="50">
        <v>5</v>
      </c>
      <c r="G12" s="51">
        <f t="shared" si="1"/>
        <v>47392</v>
      </c>
      <c r="H12" s="52">
        <f t="shared" si="1"/>
        <v>1065000</v>
      </c>
      <c r="I12" s="52">
        <f>E36</f>
        <v>829761.90476190485</v>
      </c>
    </row>
    <row r="13" spans="1:9" ht="20" customHeight="1" x14ac:dyDescent="0.35">
      <c r="A13" s="7" t="s">
        <v>154</v>
      </c>
      <c r="C13" s="50">
        <v>7</v>
      </c>
      <c r="D13" s="51">
        <v>41913</v>
      </c>
      <c r="E13" s="52">
        <f t="shared" si="0"/>
        <v>-25000</v>
      </c>
      <c r="F13" s="50"/>
      <c r="G13" s="51"/>
      <c r="H13" s="52"/>
      <c r="I13" s="52"/>
    </row>
    <row r="14" spans="1:9" ht="20" customHeight="1" x14ac:dyDescent="0.35">
      <c r="A14" s="7" t="s">
        <v>155</v>
      </c>
      <c r="C14" s="50">
        <v>8</v>
      </c>
      <c r="D14" s="51">
        <v>42278</v>
      </c>
      <c r="E14" s="52">
        <f t="shared" si="0"/>
        <v>-25000</v>
      </c>
      <c r="F14" s="50"/>
      <c r="G14" s="51"/>
      <c r="H14" s="52"/>
      <c r="I14" s="52"/>
    </row>
    <row r="15" spans="1:9" ht="20" customHeight="1" x14ac:dyDescent="0.35">
      <c r="A15" s="7" t="s">
        <v>156</v>
      </c>
      <c r="C15" s="50">
        <v>9</v>
      </c>
      <c r="D15" s="51">
        <v>42644</v>
      </c>
      <c r="E15" s="52">
        <f t="shared" si="0"/>
        <v>-25000</v>
      </c>
      <c r="F15" s="50"/>
      <c r="G15" s="51"/>
      <c r="H15" s="52"/>
      <c r="I15" s="52"/>
    </row>
    <row r="16" spans="1:9" ht="20" customHeight="1" x14ac:dyDescent="0.35">
      <c r="A16" s="7" t="s">
        <v>157</v>
      </c>
      <c r="C16" s="50">
        <v>10</v>
      </c>
      <c r="D16" s="51">
        <v>43009</v>
      </c>
      <c r="E16" s="52">
        <f t="shared" si="0"/>
        <v>-25000</v>
      </c>
      <c r="F16" s="50"/>
      <c r="G16" s="51"/>
      <c r="H16" s="52"/>
      <c r="I16" s="52"/>
    </row>
    <row r="17" spans="1:9" ht="20" customHeight="1" x14ac:dyDescent="0.35">
      <c r="C17" s="50">
        <v>11</v>
      </c>
      <c r="D17" s="51">
        <v>43374</v>
      </c>
      <c r="E17" s="52">
        <f t="shared" si="0"/>
        <v>-25000</v>
      </c>
      <c r="F17" s="50"/>
      <c r="G17" s="51"/>
      <c r="H17" s="52"/>
      <c r="I17" s="52"/>
    </row>
    <row r="18" spans="1:9" ht="20" customHeight="1" x14ac:dyDescent="0.35">
      <c r="C18" s="50">
        <v>12</v>
      </c>
      <c r="D18" s="51">
        <v>43739</v>
      </c>
      <c r="E18" s="52">
        <f t="shared" si="0"/>
        <v>-25000</v>
      </c>
      <c r="F18" s="50"/>
      <c r="G18" s="51"/>
      <c r="H18" s="52"/>
      <c r="I18" s="52"/>
    </row>
    <row r="19" spans="1:9" ht="20" customHeight="1" x14ac:dyDescent="0.35">
      <c r="C19" s="50">
        <v>13</v>
      </c>
      <c r="D19" s="51">
        <v>44105</v>
      </c>
      <c r="E19" s="52">
        <f t="shared" si="0"/>
        <v>-25000</v>
      </c>
      <c r="F19" s="50"/>
      <c r="G19" s="51"/>
      <c r="H19" s="52"/>
      <c r="I19" s="52"/>
    </row>
    <row r="20" spans="1:9" ht="20" customHeight="1" x14ac:dyDescent="0.35">
      <c r="C20" s="50">
        <v>14</v>
      </c>
      <c r="D20" s="51">
        <v>44470</v>
      </c>
      <c r="E20" s="52">
        <f t="shared" si="0"/>
        <v>-25000</v>
      </c>
      <c r="F20" s="50"/>
      <c r="G20" s="51"/>
      <c r="H20" s="52"/>
      <c r="I20" s="52"/>
    </row>
    <row r="21" spans="1:9" ht="20" customHeight="1" x14ac:dyDescent="0.35">
      <c r="C21" s="50">
        <v>15</v>
      </c>
      <c r="D21" s="51">
        <v>44835</v>
      </c>
      <c r="E21" s="52">
        <f t="shared" si="0"/>
        <v>-25000</v>
      </c>
      <c r="F21" s="50"/>
      <c r="G21" s="51"/>
      <c r="H21" s="52"/>
      <c r="I21" s="52"/>
    </row>
    <row r="22" spans="1:9" ht="20" customHeight="1" x14ac:dyDescent="0.35">
      <c r="C22" s="50">
        <v>16</v>
      </c>
      <c r="D22" s="51">
        <v>45200</v>
      </c>
      <c r="E22" s="52">
        <f t="shared" si="0"/>
        <v>-25000</v>
      </c>
      <c r="F22" s="50"/>
      <c r="G22" s="51"/>
      <c r="H22" s="52"/>
      <c r="I22" s="52"/>
    </row>
    <row r="23" spans="1:9" ht="20" customHeight="1" x14ac:dyDescent="0.35">
      <c r="C23" s="50">
        <v>17</v>
      </c>
      <c r="D23" s="51">
        <v>45566</v>
      </c>
      <c r="E23" s="52">
        <f t="shared" si="0"/>
        <v>-25000</v>
      </c>
      <c r="F23" s="50"/>
      <c r="G23" s="51"/>
      <c r="H23" s="52"/>
      <c r="I23" s="52"/>
    </row>
    <row r="24" spans="1:9" ht="20" customHeight="1" x14ac:dyDescent="0.35">
      <c r="C24" s="50">
        <v>18</v>
      </c>
      <c r="D24" s="51">
        <v>45931</v>
      </c>
      <c r="E24" s="52">
        <f t="shared" si="0"/>
        <v>-25000</v>
      </c>
      <c r="F24" s="50"/>
      <c r="G24" s="51"/>
      <c r="H24" s="52"/>
      <c r="I24" s="52"/>
    </row>
    <row r="25" spans="1:9" ht="20" customHeight="1" x14ac:dyDescent="0.35">
      <c r="C25" s="50">
        <v>19</v>
      </c>
      <c r="D25" s="51">
        <v>46296</v>
      </c>
      <c r="E25" s="52">
        <f t="shared" si="0"/>
        <v>-25000</v>
      </c>
      <c r="F25" s="50"/>
      <c r="G25" s="51"/>
      <c r="H25" s="52"/>
      <c r="I25" s="52"/>
    </row>
    <row r="26" spans="1:9" ht="20" customHeight="1" x14ac:dyDescent="0.35">
      <c r="C26" s="50">
        <v>20</v>
      </c>
      <c r="D26" s="51">
        <v>46661</v>
      </c>
      <c r="E26" s="52">
        <f t="shared" si="0"/>
        <v>-25000</v>
      </c>
      <c r="F26" s="50"/>
      <c r="G26" s="51"/>
      <c r="H26" s="52"/>
      <c r="I26" s="52"/>
    </row>
    <row r="27" spans="1:9" ht="20" customHeight="1" x14ac:dyDescent="0.35">
      <c r="A27" s="39" t="s">
        <v>158</v>
      </c>
      <c r="C27" s="50">
        <v>21</v>
      </c>
      <c r="D27" s="51">
        <v>47027</v>
      </c>
      <c r="E27" s="52">
        <f t="shared" si="0"/>
        <v>-25000</v>
      </c>
      <c r="F27" s="50"/>
      <c r="G27" s="51"/>
      <c r="H27" s="52"/>
      <c r="I27" s="52"/>
    </row>
    <row r="28" spans="1:9" ht="20" customHeight="1" x14ac:dyDescent="0.35">
      <c r="A28" s="7" t="s">
        <v>159</v>
      </c>
      <c r="C28" s="50">
        <v>22</v>
      </c>
      <c r="D28" s="51">
        <v>47392</v>
      </c>
      <c r="E28" s="52">
        <v>1065000</v>
      </c>
      <c r="F28" s="50"/>
      <c r="G28" s="51"/>
      <c r="H28" s="52"/>
      <c r="I28" s="52"/>
    </row>
    <row r="29" spans="1:9" ht="20" customHeight="1" x14ac:dyDescent="0.35">
      <c r="A29" s="7" t="s">
        <v>365</v>
      </c>
      <c r="C29" s="327" t="s">
        <v>161</v>
      </c>
      <c r="D29" s="328"/>
      <c r="E29" s="275">
        <f>XIRR(E7:E28,D7:D28)</f>
        <v>6.0352000594139088E-2</v>
      </c>
      <c r="F29" s="327" t="s">
        <v>162</v>
      </c>
      <c r="G29" s="328"/>
      <c r="H29" s="275">
        <f>XIRR(H7:H28,G7:G28)</f>
        <v>0.15633290410041811</v>
      </c>
      <c r="I29" s="275">
        <f>XIRR(I7:I28,G7:G28)</f>
        <v>0.13249545693397521</v>
      </c>
    </row>
    <row r="30" spans="1:9" ht="20" customHeight="1" x14ac:dyDescent="0.35">
      <c r="A30" s="7" t="s">
        <v>160</v>
      </c>
    </row>
    <row r="32" spans="1:9" ht="20" customHeight="1" x14ac:dyDescent="0.35">
      <c r="A32" s="41"/>
    </row>
    <row r="33" spans="1:5" ht="20" customHeight="1" x14ac:dyDescent="0.35">
      <c r="A33" s="276" t="s">
        <v>366</v>
      </c>
      <c r="B33" s="277"/>
      <c r="C33" s="277"/>
      <c r="D33" s="277"/>
      <c r="E33" s="278"/>
    </row>
    <row r="34" spans="1:5" ht="29" x14ac:dyDescent="0.35">
      <c r="A34" s="279" t="s">
        <v>367</v>
      </c>
      <c r="B34" s="43"/>
      <c r="C34" s="43"/>
      <c r="D34" s="43"/>
      <c r="E34" s="46">
        <f>17/21*500000</f>
        <v>404761.90476190479</v>
      </c>
    </row>
    <row r="35" spans="1:5" ht="20" customHeight="1" x14ac:dyDescent="0.35">
      <c r="A35" s="45" t="s">
        <v>163</v>
      </c>
      <c r="B35" s="43"/>
      <c r="C35" s="43"/>
      <c r="D35" s="43"/>
      <c r="E35" s="46">
        <f>17*50/1000*500000</f>
        <v>425000</v>
      </c>
    </row>
    <row r="36" spans="1:5" ht="20" customHeight="1" x14ac:dyDescent="0.35">
      <c r="A36" s="280"/>
      <c r="B36" s="281"/>
      <c r="C36" s="281"/>
      <c r="D36" s="281"/>
      <c r="E36" s="282">
        <f>SUM(E34:E35)</f>
        <v>829761.90476190485</v>
      </c>
    </row>
    <row r="37" spans="1:5" ht="20" customHeight="1" x14ac:dyDescent="0.35">
      <c r="A37" s="47"/>
    </row>
    <row r="38" spans="1:5" ht="20" customHeight="1" x14ac:dyDescent="0.35">
      <c r="A38" s="283" t="s">
        <v>164</v>
      </c>
      <c r="B38" s="277"/>
      <c r="C38" s="277"/>
      <c r="D38" s="277"/>
      <c r="E38" s="284"/>
    </row>
    <row r="39" spans="1:5" ht="20" customHeight="1" x14ac:dyDescent="0.35">
      <c r="A39" s="25" t="s">
        <v>165</v>
      </c>
      <c r="B39" s="43"/>
      <c r="C39" s="43"/>
      <c r="D39" s="43"/>
      <c r="E39" s="46">
        <f>25000*17*80%</f>
        <v>340000</v>
      </c>
    </row>
    <row r="40" spans="1:5" ht="20" customHeight="1" x14ac:dyDescent="0.35">
      <c r="A40" s="25" t="s">
        <v>392</v>
      </c>
      <c r="B40" s="43"/>
      <c r="C40" s="43"/>
      <c r="D40" s="43"/>
      <c r="E40" s="46">
        <f>17*50/1000*500000*25%</f>
        <v>106250</v>
      </c>
    </row>
    <row r="41" spans="1:5" ht="20" customHeight="1" x14ac:dyDescent="0.35">
      <c r="A41" s="285"/>
      <c r="B41" s="281"/>
      <c r="C41" s="281"/>
      <c r="D41" s="281"/>
      <c r="E41" s="282">
        <f>SUM(E39:E40)</f>
        <v>446250</v>
      </c>
    </row>
    <row r="43" spans="1:5" ht="20" customHeight="1" x14ac:dyDescent="0.35">
      <c r="A43" s="283" t="s">
        <v>167</v>
      </c>
      <c r="B43" s="277"/>
      <c r="C43" s="277"/>
      <c r="D43" s="277"/>
      <c r="E43" s="284"/>
    </row>
    <row r="44" spans="1:5" ht="20" customHeight="1" x14ac:dyDescent="0.35">
      <c r="A44" s="25" t="s">
        <v>168</v>
      </c>
      <c r="B44" s="43"/>
      <c r="C44" s="43"/>
      <c r="D44" s="43"/>
      <c r="E44" s="46">
        <v>500000</v>
      </c>
    </row>
    <row r="45" spans="1:5" ht="20" customHeight="1" x14ac:dyDescent="0.35">
      <c r="A45" s="25" t="s">
        <v>169</v>
      </c>
      <c r="B45" s="43"/>
      <c r="C45" s="43"/>
      <c r="D45" s="43"/>
      <c r="E45" s="46">
        <f>21*50/1000*500000</f>
        <v>525000</v>
      </c>
    </row>
    <row r="46" spans="1:5" ht="20" customHeight="1" x14ac:dyDescent="0.35">
      <c r="A46" s="25" t="s">
        <v>170</v>
      </c>
      <c r="B46" s="43"/>
      <c r="C46" s="43"/>
      <c r="D46" s="43"/>
      <c r="E46" s="46">
        <f>80/1000*500000</f>
        <v>40000</v>
      </c>
    </row>
    <row r="47" spans="1:5" ht="20" customHeight="1" x14ac:dyDescent="0.35">
      <c r="A47" s="285"/>
      <c r="B47" s="281"/>
      <c r="C47" s="281"/>
      <c r="D47" s="281"/>
      <c r="E47" s="282">
        <f>SUM(E43:E46)</f>
        <v>1065000</v>
      </c>
    </row>
    <row r="49" spans="1:1" ht="20" customHeight="1" x14ac:dyDescent="0.35">
      <c r="A49" s="236" t="s">
        <v>287</v>
      </c>
    </row>
    <row r="50" spans="1:1" ht="29" x14ac:dyDescent="0.35">
      <c r="A50" s="178" t="s">
        <v>368</v>
      </c>
    </row>
    <row r="52" spans="1:1" ht="14.5" x14ac:dyDescent="0.35"/>
  </sheetData>
  <mergeCells count="5">
    <mergeCell ref="A3:F3"/>
    <mergeCell ref="C5:E5"/>
    <mergeCell ref="F5:H5"/>
    <mergeCell ref="C29:D29"/>
    <mergeCell ref="F29:G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d10f03-8407-4647-8ef0-921773623f59">
      <Terms xmlns="http://schemas.microsoft.com/office/infopath/2007/PartnerControls"/>
    </lcf76f155ced4ddcb4097134ff3c332f>
    <TaxCatchAll xmlns="86dba126-2e88-4e6e-ade5-a98735b2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4A05AAC405BC44B9305A6052F22282" ma:contentTypeVersion="18" ma:contentTypeDescription="Create a new document." ma:contentTypeScope="" ma:versionID="c50c43b88e47f9504ed561c4533263ff">
  <xsd:schema xmlns:xsd="http://www.w3.org/2001/XMLSchema" xmlns:xs="http://www.w3.org/2001/XMLSchema" xmlns:p="http://schemas.microsoft.com/office/2006/metadata/properties" xmlns:ns2="53d10f03-8407-4647-8ef0-921773623f59" xmlns:ns3="86dba126-2e88-4e6e-ade5-a98735b20ed3" targetNamespace="http://schemas.microsoft.com/office/2006/metadata/properties" ma:root="true" ma:fieldsID="8c1d815bb69a59916f4709002af13afb" ns2:_="" ns3:_="">
    <xsd:import namespace="53d10f03-8407-4647-8ef0-921773623f59"/>
    <xsd:import namespace="86dba126-2e88-4e6e-ade5-a98735b20ed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d10f03-8407-4647-8ef0-921773623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573b3dd-81e5-4dea-82dd-25324d5070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dba126-2e88-4e6e-ade5-a98735b20ed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f9734ba-b693-4df4-9435-2adfdff0faac}" ma:internalName="TaxCatchAll" ma:showField="CatchAllData" ma:web="86dba126-2e88-4e6e-ade5-a98735b20e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3EBD4F-B273-488C-BD3A-57296770C406}">
  <ds:schemaRefs>
    <ds:schemaRef ds:uri="http://schemas.microsoft.com/office/2006/metadata/properties"/>
    <ds:schemaRef ds:uri="http://schemas.microsoft.com/office/infopath/2007/PartnerControls"/>
    <ds:schemaRef ds:uri="53d10f03-8407-4647-8ef0-921773623f59"/>
    <ds:schemaRef ds:uri="86dba126-2e88-4e6e-ade5-a98735b20ed3"/>
  </ds:schemaRefs>
</ds:datastoreItem>
</file>

<file path=customXml/itemProps2.xml><?xml version="1.0" encoding="utf-8"?>
<ds:datastoreItem xmlns:ds="http://schemas.openxmlformats.org/officeDocument/2006/customXml" ds:itemID="{77385883-D493-45A3-B157-8649A470F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d10f03-8407-4647-8ef0-921773623f59"/>
    <ds:schemaRef ds:uri="86dba126-2e88-4e6e-ade5-a98735b20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7CCAA4-30E1-462E-A0BB-0F0F3AFF77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Assignment 1</vt:lpstr>
      <vt:lpstr>Assignment 2</vt:lpstr>
      <vt:lpstr>Assignment 3</vt:lpstr>
      <vt:lpstr>Assignment 4</vt:lpstr>
      <vt:lpstr>Assignment 5</vt:lpstr>
      <vt:lpstr>Assignment 6</vt:lpstr>
      <vt:lpstr>Assignment 7</vt:lpstr>
      <vt:lpstr>Assignment 8</vt:lpstr>
      <vt:lpstr>Assignment 9</vt:lpstr>
      <vt:lpstr>Assignment 10</vt:lpstr>
      <vt:lpstr>Insurance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Nitee</dc:creator>
  <cp:lastModifiedBy>Nitee</cp:lastModifiedBy>
  <dcterms:created xsi:type="dcterms:W3CDTF">2024-11-07T03:25:53Z</dcterms:created>
  <dcterms:modified xsi:type="dcterms:W3CDTF">2024-11-08T08:20:50Z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0x0101007A4A05AAC405BC44B9305A6052F22282</vt:lpwstr>
  </property>
  <property fmtid="{D5CDD505-2E9C-101B-9397-08002B2CF9AE}" pid="3" name="MediaServiceImageTags">
    <vt:lpwstr/>
  </property>
</Properties>
</file>